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8800" windowHeight="11835" tabRatio="908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1" sheetId="32" r:id="rId16"/>
    <sheet name="LOTE 2" sheetId="33" r:id="rId17"/>
    <sheet name="LOTE 3" sheetId="34" r:id="rId18"/>
    <sheet name="LOTE 4" sheetId="35" r:id="rId19"/>
    <sheet name="LOTE 5" sheetId="36" r:id="rId20"/>
    <sheet name="DOCTOR VIP L 1" sheetId="24" state="hidden" r:id="rId21"/>
    <sheet name="DOCTOR VIP L 2" sheetId="28" state="hidden" r:id="rId22"/>
    <sheet name="MORAES E SOEIRO L 03" sheetId="22" state="hidden" r:id="rId23"/>
    <sheet name="MORAES E SOEIRO L 08" sheetId="25" state="hidden" r:id="rId24"/>
    <sheet name="parei MORAES E SOEIRO L4" sheetId="21" state="hidden" r:id="rId25"/>
    <sheet name="Plan2" sheetId="23" state="hidden" r:id="rId26"/>
    <sheet name="HYPNOS L 4" sheetId="26" state="hidden" r:id="rId27"/>
    <sheet name="HYPNOS L.7" sheetId="16" state="hidden" r:id="rId28"/>
    <sheet name="LIFECARE 6 CONF." sheetId="27" state="hidden" r:id="rId29"/>
    <sheet name="DOM WALMOR L.5 CONF." sheetId="17" state="hidden" r:id="rId30"/>
    <sheet name="IMP" sheetId="18" state="hidden" r:id="rId31"/>
    <sheet name="DOM WALMOR L. 5" sheetId="19" state="hidden" r:id="rId32"/>
    <sheet name="Plan1" sheetId="20" state="hidden" r:id="rId33"/>
  </sheets>
  <definedNames>
    <definedName name="_xlnm.Print_Area" localSheetId="20">'DOCTOR VIP L 1'!$A$1:$M$47</definedName>
    <definedName name="_xlnm.Print_Area" localSheetId="29">'DOM WALMOR L.5 CONF.'!$A$1:$N$51</definedName>
    <definedName name="_xlnm.Print_Area" localSheetId="27">'HYPNOS L.7'!$A$1:$M$49</definedName>
    <definedName name="_xlnm.Print_Area" localSheetId="28">'LIFECARE 6 CONF.'!$A$1:$N$51</definedName>
    <definedName name="_xlnm.Print_Area" localSheetId="15">'LOTE 1'!$A$1:$I$32</definedName>
    <definedName name="_xlnm.Print_Area" localSheetId="16">'LOTE 2'!$A$1:$I$40</definedName>
    <definedName name="_xlnm.Print_Area" localSheetId="17">'LOTE 3'!$A$1:$I$34</definedName>
    <definedName name="_xlnm.Print_Area" localSheetId="18">'LOTE 4'!$A$1:$I$34</definedName>
    <definedName name="_xlnm.Print_Area" localSheetId="19">'LOTE 5'!$A$1:$I$28</definedName>
    <definedName name="_xlnm.Print_Area" localSheetId="22">'MORAES E SOEIRO L 03'!$A$1:$L$45</definedName>
  </definedNames>
  <calcPr calcId="152511"/>
</workbook>
</file>

<file path=xl/calcChain.xml><?xml version="1.0" encoding="utf-8"?>
<calcChain xmlns="http://schemas.openxmlformats.org/spreadsheetml/2006/main">
  <c r="E27" i="36" l="1"/>
  <c r="E33" i="35"/>
  <c r="E33" i="34"/>
  <c r="E39" i="33"/>
  <c r="E31" i="32"/>
  <c r="C3" i="33"/>
  <c r="B18" i="36"/>
  <c r="B8" i="36"/>
  <c r="D8" i="36" s="1"/>
  <c r="I3" i="36" s="1"/>
  <c r="A8" i="36"/>
  <c r="B5" i="36"/>
  <c r="H3" i="36"/>
  <c r="B24" i="35"/>
  <c r="B14" i="35"/>
  <c r="D14" i="35" s="1"/>
  <c r="I6" i="35" s="1"/>
  <c r="A14" i="35"/>
  <c r="B13" i="35"/>
  <c r="D13" i="35" s="1"/>
  <c r="I5" i="35" s="1"/>
  <c r="A13" i="35"/>
  <c r="B12" i="35"/>
  <c r="D12" i="35" s="1"/>
  <c r="I4" i="35" s="1"/>
  <c r="A12" i="35"/>
  <c r="B11" i="35"/>
  <c r="D11" i="35" s="1"/>
  <c r="I3" i="35" s="1"/>
  <c r="A11" i="35"/>
  <c r="B8" i="35"/>
  <c r="H6" i="35"/>
  <c r="H5" i="35"/>
  <c r="H4" i="35"/>
  <c r="H3" i="35"/>
  <c r="B24" i="34"/>
  <c r="B14" i="34"/>
  <c r="D14" i="34" s="1"/>
  <c r="I6" i="34" s="1"/>
  <c r="A14" i="34"/>
  <c r="B13" i="34"/>
  <c r="D13" i="34" s="1"/>
  <c r="I5" i="34" s="1"/>
  <c r="A13" i="34"/>
  <c r="B12" i="34"/>
  <c r="D12" i="34" s="1"/>
  <c r="I4" i="34" s="1"/>
  <c r="A12" i="34"/>
  <c r="B11" i="34"/>
  <c r="D11" i="34" s="1"/>
  <c r="I3" i="34" s="1"/>
  <c r="A11" i="34"/>
  <c r="B8" i="34"/>
  <c r="H6" i="34"/>
  <c r="H5" i="34"/>
  <c r="H4" i="34"/>
  <c r="H3" i="34"/>
  <c r="B30" i="33"/>
  <c r="B20" i="33"/>
  <c r="D20" i="33" s="1"/>
  <c r="I9" i="33" s="1"/>
  <c r="A20" i="33"/>
  <c r="B19" i="33"/>
  <c r="D19" i="33" s="1"/>
  <c r="I8" i="33" s="1"/>
  <c r="A19" i="33"/>
  <c r="B18" i="33"/>
  <c r="D18" i="33" s="1"/>
  <c r="I7" i="33" s="1"/>
  <c r="A18" i="33"/>
  <c r="B17" i="33"/>
  <c r="D17" i="33" s="1"/>
  <c r="I6" i="33" s="1"/>
  <c r="A17" i="33"/>
  <c r="B16" i="33"/>
  <c r="D16" i="33" s="1"/>
  <c r="I5" i="33" s="1"/>
  <c r="A16" i="33"/>
  <c r="B15" i="33"/>
  <c r="D15" i="33" s="1"/>
  <c r="I4" i="33" s="1"/>
  <c r="A15" i="33"/>
  <c r="B14" i="33"/>
  <c r="D14" i="33" s="1"/>
  <c r="I3" i="33" s="1"/>
  <c r="A14" i="33"/>
  <c r="B11" i="33"/>
  <c r="H9" i="33"/>
  <c r="H8" i="33"/>
  <c r="H7" i="33"/>
  <c r="H6" i="33"/>
  <c r="H5" i="33"/>
  <c r="H4" i="33"/>
  <c r="H3" i="33"/>
  <c r="B16" i="35" l="1"/>
  <c r="B18" i="35" s="1"/>
  <c r="B16" i="34"/>
  <c r="B18" i="34" s="1"/>
  <c r="D16" i="34"/>
  <c r="D18" i="34" s="1"/>
  <c r="D10" i="36"/>
  <c r="I5" i="36"/>
  <c r="B10" i="36"/>
  <c r="I8" i="35"/>
  <c r="D16" i="35"/>
  <c r="I8" i="34"/>
  <c r="I11" i="33"/>
  <c r="E6" i="33" s="1"/>
  <c r="D22" i="33"/>
  <c r="B22" i="33"/>
  <c r="E3" i="36" l="1"/>
  <c r="B17" i="35"/>
  <c r="E6" i="35"/>
  <c r="E4" i="35"/>
  <c r="B17" i="34"/>
  <c r="D17" i="34"/>
  <c r="E8" i="33"/>
  <c r="E7" i="33"/>
  <c r="D12" i="36"/>
  <c r="D11" i="36"/>
  <c r="B12" i="36"/>
  <c r="B11" i="36"/>
  <c r="C23" i="36"/>
  <c r="C15" i="36"/>
  <c r="C22" i="36"/>
  <c r="C17" i="36"/>
  <c r="E5" i="36"/>
  <c r="C21" i="36"/>
  <c r="C16" i="36"/>
  <c r="D18" i="35"/>
  <c r="D17" i="35"/>
  <c r="C29" i="35"/>
  <c r="E8" i="35"/>
  <c r="C28" i="35"/>
  <c r="C23" i="35"/>
  <c r="E5" i="35"/>
  <c r="C21" i="35"/>
  <c r="C27" i="35"/>
  <c r="C22" i="35"/>
  <c r="E3" i="35"/>
  <c r="C29" i="34"/>
  <c r="C28" i="34"/>
  <c r="C23" i="34"/>
  <c r="E5" i="34"/>
  <c r="C27" i="34"/>
  <c r="C22" i="34"/>
  <c r="C21" i="34"/>
  <c r="E8" i="34"/>
  <c r="E3" i="34"/>
  <c r="E4" i="34"/>
  <c r="E6" i="34"/>
  <c r="D24" i="33"/>
  <c r="D23" i="33"/>
  <c r="C35" i="33"/>
  <c r="E9" i="33"/>
  <c r="E5" i="33"/>
  <c r="C34" i="33"/>
  <c r="C29" i="33"/>
  <c r="C33" i="33"/>
  <c r="C28" i="33"/>
  <c r="C27" i="33"/>
  <c r="E11" i="33"/>
  <c r="E3" i="33"/>
  <c r="E4" i="33"/>
  <c r="B24" i="33"/>
  <c r="B23" i="33"/>
  <c r="B12" i="32"/>
  <c r="B11" i="32"/>
  <c r="B10" i="32"/>
  <c r="C18" i="36" l="1"/>
  <c r="C24" i="36"/>
  <c r="C30" i="35"/>
  <c r="C36" i="33"/>
  <c r="C24" i="35"/>
  <c r="C30" i="34"/>
  <c r="C24" i="34"/>
  <c r="C30" i="33"/>
  <c r="B22" i="32"/>
  <c r="B7" i="32"/>
  <c r="A11" i="32"/>
  <c r="A12" i="32"/>
  <c r="A10" i="32"/>
  <c r="F3" i="36" l="1"/>
  <c r="G3" i="36"/>
  <c r="G4" i="35"/>
  <c r="G3" i="35"/>
  <c r="G5" i="35"/>
  <c r="G6" i="35"/>
  <c r="G3" i="33"/>
  <c r="G7" i="33"/>
  <c r="G8" i="33"/>
  <c r="G6" i="33"/>
  <c r="G5" i="33"/>
  <c r="G9" i="33"/>
  <c r="G4" i="33"/>
  <c r="F5" i="35"/>
  <c r="F6" i="35"/>
  <c r="F3" i="35"/>
  <c r="F4" i="35"/>
  <c r="G6" i="34"/>
  <c r="G3" i="34"/>
  <c r="G4" i="34"/>
  <c r="G5" i="34"/>
  <c r="F5" i="34"/>
  <c r="F6" i="34"/>
  <c r="F3" i="34"/>
  <c r="F4" i="34"/>
  <c r="F9" i="33"/>
  <c r="F5" i="33"/>
  <c r="F6" i="33"/>
  <c r="F7" i="33"/>
  <c r="F3" i="33"/>
  <c r="F8" i="33"/>
  <c r="F4" i="33"/>
  <c r="H4" i="32"/>
  <c r="H5" i="32"/>
  <c r="H3" i="32"/>
  <c r="D11" i="32"/>
  <c r="I4" i="32" s="1"/>
  <c r="D12" i="32"/>
  <c r="I5" i="32" s="1"/>
  <c r="C3" i="36" l="1"/>
  <c r="D3" i="36" s="1"/>
  <c r="C3" i="35"/>
  <c r="D3" i="35" s="1"/>
  <c r="C6" i="35"/>
  <c r="D6" i="35" s="1"/>
  <c r="C4" i="35"/>
  <c r="D4" i="35" s="1"/>
  <c r="C5" i="35"/>
  <c r="D5" i="35" s="1"/>
  <c r="C7" i="33"/>
  <c r="D7" i="33" s="1"/>
  <c r="C9" i="33"/>
  <c r="D9" i="33" s="1"/>
  <c r="C6" i="33"/>
  <c r="D6" i="33" s="1"/>
  <c r="C8" i="33"/>
  <c r="D8" i="33" s="1"/>
  <c r="D3" i="33"/>
  <c r="C5" i="33"/>
  <c r="D5" i="33" s="1"/>
  <c r="C4" i="33"/>
  <c r="D4" i="33" s="1"/>
  <c r="C6" i="34"/>
  <c r="D6" i="34" s="1"/>
  <c r="C5" i="34"/>
  <c r="D5" i="34" s="1"/>
  <c r="C4" i="34"/>
  <c r="D4" i="34" s="1"/>
  <c r="C3" i="34"/>
  <c r="D3" i="34" s="1"/>
  <c r="D5" i="36" l="1"/>
  <c r="E26" i="36" s="1"/>
  <c r="D8" i="35"/>
  <c r="E32" i="35" s="1"/>
  <c r="D11" i="33"/>
  <c r="E38" i="33" s="1"/>
  <c r="D8" i="34"/>
  <c r="E32" i="34" s="1"/>
  <c r="D10" i="32"/>
  <c r="D14" i="32" s="1"/>
  <c r="B14" i="32"/>
  <c r="D16" i="32" l="1"/>
  <c r="D15" i="32"/>
  <c r="I3" i="32"/>
  <c r="I7" i="32" s="1"/>
  <c r="B16" i="32"/>
  <c r="B15" i="32"/>
  <c r="C20" i="32" l="1"/>
  <c r="C19" i="32"/>
  <c r="C21" i="32"/>
  <c r="E7" i="32"/>
  <c r="C26" i="32"/>
  <c r="C27" i="32"/>
  <c r="C25" i="32"/>
  <c r="E5" i="32"/>
  <c r="E3" i="32"/>
  <c r="C22" i="32" l="1"/>
  <c r="C28" i="32"/>
  <c r="C20" i="27" l="1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E4" i="32" l="1"/>
  <c r="G5" i="32" l="1"/>
  <c r="G4" i="32"/>
  <c r="G3" i="32"/>
  <c r="F5" i="32" l="1"/>
  <c r="C5" i="32" s="1"/>
  <c r="D5" i="32" s="1"/>
  <c r="F4" i="32"/>
  <c r="C4" i="32" s="1"/>
  <c r="D4" i="32" s="1"/>
  <c r="F3" i="32"/>
  <c r="C3" i="32" s="1"/>
  <c r="D3" i="32" l="1"/>
  <c r="D7" i="32" l="1"/>
  <c r="E30" i="32" s="1"/>
  <c r="B28" i="32"/>
  <c r="B30" i="35"/>
  <c r="B24" i="36"/>
  <c r="B30" i="34"/>
  <c r="B36" i="33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<sst xmlns="http://schemas.openxmlformats.org/spreadsheetml/2006/main" count="1677" uniqueCount="296">
  <si>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</si>
  <si>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</si>
  <si>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</si>
  <si>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</si>
  <si>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</si>
  <si>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</si>
  <si>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</si>
  <si>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</si>
  <si>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</si>
  <si>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</si>
  <si>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</si>
  <si>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</si>
  <si>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</si>
  <si>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</si>
  <si>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</si>
  <si>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</si>
  <si>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</si>
  <si>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</si>
  <si>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</si>
  <si>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</si>
  <si>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</si>
  <si>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</si>
  <si>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</si>
  <si>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</si>
  <si>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</si>
  <si>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</si>
  <si>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</si>
  <si>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</si>
  <si>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</si>
  <si>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</si>
  <si>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</si>
  <si>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</si>
  <si>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</si>
  <si>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</si>
  <si>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</si>
  <si>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</si>
  <si>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</si>
  <si>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</si>
  <si>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</si>
  <si>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</si>
  <si>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</si>
  <si>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</si>
  <si>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</si>
  <si>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</si>
  <si>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</si>
  <si>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</si>
  <si>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</si>
  <si>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</si>
  <si>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</si>
  <si>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</si>
  <si>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</si>
  <si>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</si>
  <si>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</si>
  <si>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</si>
  <si>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</si>
  <si>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</si>
  <si>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</si>
  <si>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</si>
  <si>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</si>
  <si>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</si>
  <si>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</si>
  <si>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</si>
  <si>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</si>
  <si>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</si>
  <si>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</si>
  <si>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</si>
  <si>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</si>
  <si>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</si>
  <si>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</si>
  <si>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</si>
  <si>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</si>
  <si>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</si>
  <si>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</si>
  <si>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</si>
  <si>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</si>
  <si>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</si>
  <si>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</si>
  <si>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</si>
  <si>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</si>
  <si>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</si>
  <si>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</si>
  <si>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</si>
  <si>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</si>
  <si>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</si>
  <si>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</si>
  <si>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</si>
  <si>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</si>
  <si>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</si>
  <si>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</si>
  <si>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</si>
  <si>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</si>
  <si>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</si>
  <si>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</si>
  <si>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</si>
  <si>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</si>
  <si>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</si>
  <si>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</si>
  <si>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</si>
  <si>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</si>
  <si>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</si>
  <si>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</si>
  <si>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</si>
  <si>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</si>
  <si>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</si>
  <si>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</si>
  <si>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</si>
  <si>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</si>
  <si>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</si>
  <si>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</si>
  <si>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</si>
  <si>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</si>
  <si>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</si>
  <si>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</si>
  <si>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</si>
  <si>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</si>
  <si>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</si>
  <si>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</si>
  <si>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</si>
  <si>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</si>
  <si>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</si>
  <si>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</si>
  <si>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</si>
  <si>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</si>
  <si>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</si>
  <si>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</si>
  <si>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</si>
  <si>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</si>
  <si>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</si>
  <si>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</si>
  <si>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</si>
  <si>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</si>
  <si>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</si>
  <si>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</si>
  <si>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</si>
  <si>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</si>
  <si>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</si>
  <si>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</si>
  <si>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</si>
  <si>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</si>
  <si>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</si>
  <si>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</si>
  <si>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</si>
  <si>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</si>
  <si>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</si>
  <si>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</si>
  <si>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</si>
  <si>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</si>
  <si>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</si>
  <si>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</si>
  <si>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</si>
  <si>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</si>
  <si>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</si>
  <si>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</si>
  <si>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</si>
  <si>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</si>
  <si>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</si>
  <si>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</si>
  <si>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</si>
  <si>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</si>
  <si>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</si>
  <si>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</si>
  <si>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</si>
  <si>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</si>
  <si>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</si>
  <si>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</si>
  <si>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</si>
  <si>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</si>
  <si>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</si>
  <si>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</si>
  <si>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</si>
  <si>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</si>
  <si>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</si>
  <si>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</si>
  <si>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</si>
  <si>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</si>
  <si>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</si>
  <si>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</si>
  <si>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</si>
  <si>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</si>
  <si>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</si>
  <si>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</si>
  <si>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</si>
  <si>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</si>
  <si>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</si>
  <si>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</si>
  <si>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</si>
  <si>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</si>
  <si>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</si>
  <si>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</si>
  <si>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</si>
  <si>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</si>
  <si>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</si>
  <si>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</si>
  <si>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</si>
  <si>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</si>
  <si>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</si>
  <si>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</si>
  <si>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</si>
  <si>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</si>
  <si>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</si>
  <si>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</si>
  <si>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</si>
  <si>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</si>
  <si>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</si>
  <si>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</si>
  <si>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</si>
  <si>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</si>
  <si>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</si>
  <si>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</si>
  <si>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</si>
  <si>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</si>
  <si>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</si>
  <si>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</si>
  <si>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</si>
  <si>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</si>
  <si>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</si>
  <si>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</si>
  <si>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</si>
  <si>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</si>
  <si>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</si>
  <si>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</si>
  <si>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</si>
  <si>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</si>
  <si>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</si>
  <si>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</si>
  <si>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</si>
  <si>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</si>
  <si>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</si>
  <si>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</si>
  <si>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</si>
  <si>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</si>
  <si>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</si>
  <si>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</si>
  <si>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</si>
  <si>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</si>
  <si>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</si>
  <si>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</si>
  <si>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</si>
  <si>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</si>
  <si>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</si>
  <si>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</si>
  <si>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</si>
  <si>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</si>
  <si>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</si>
  <si>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</si>
  <si>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</si>
  <si>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</si>
  <si>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</si>
  <si>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</si>
  <si>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</si>
  <si>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</si>
  <si>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</si>
  <si>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</si>
  <si>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</si>
  <si>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</si>
  <si>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VALOR MENSAL</t>
  </si>
  <si>
    <t>VALOR SEMESTRAL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</si>
  <si>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</si>
  <si>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</si>
  <si>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</si>
  <si>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</si>
  <si>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</si>
  <si>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</si>
  <si>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</si>
  <si>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</si>
  <si>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D- DETALHAMENTO</t>
  </si>
  <si>
    <t>Tributos (B) 
sobre hora</t>
  </si>
  <si>
    <t>Encargos (A) sobre hora</t>
  </si>
  <si>
    <t>Valor da hora bruta /Mês</t>
  </si>
  <si>
    <t>Valor da Hora 
com A+B</t>
  </si>
  <si>
    <t>Proporção</t>
  </si>
  <si>
    <t>(%)</t>
  </si>
  <si>
    <t>VALOR ANUAL</t>
  </si>
  <si>
    <t>A- DETALHAMENTO</t>
  </si>
  <si>
    <t>B - Percentuais</t>
  </si>
  <si>
    <t>C - Tributação</t>
  </si>
  <si>
    <t>PROVA REAL (A+B+ C) MENSAL = D</t>
  </si>
  <si>
    <t>MÉDICO CLÍNICA MÉDICA ROTINA</t>
  </si>
  <si>
    <t>MÉDICO INTENSIVISTA COORDENAÇÃO CTI</t>
  </si>
  <si>
    <t>MÉDICO INTENSIVISTA ROTINA</t>
  </si>
  <si>
    <t>MÉDICO INTENSIVISTA PLANTÃO</t>
  </si>
  <si>
    <t xml:space="preserve">MÉDICO COORDENAÇÃO </t>
  </si>
  <si>
    <t>MÉDICO CLÍNICA MÉDICA PLANTÃO</t>
  </si>
  <si>
    <t>MÉDICO NEUROLOGIA</t>
  </si>
  <si>
    <t>MÉDICO NEFROLOGIA</t>
  </si>
  <si>
    <t>MÉDICO CARDIOLOGIA</t>
  </si>
  <si>
    <t>MÉDICO INFECTOLOGIA</t>
  </si>
  <si>
    <t>MÉDICO CIRURGIA COORDENAÇÃO</t>
  </si>
  <si>
    <t>MÉDICO UROLOGIA</t>
  </si>
  <si>
    <t>MÉDICO CIRURGIA TORÁCICA</t>
  </si>
  <si>
    <t>MÉDICO COORDENAÇÃO RADIOLOGIA</t>
  </si>
  <si>
    <t>MÉDICO RADIOLOGIA ULTRASSONOGRAFIA</t>
  </si>
  <si>
    <t>MÉDICO RADIOLOGIA RX / TOMOGRAFIA</t>
  </si>
  <si>
    <t>MÉDICO ECOCARDIODOPPLER</t>
  </si>
  <si>
    <t>MÉDICO ENDOSCOPIA / COLONOSCOPIA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</si>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</sst>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70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9" fillId="0" borderId="0" applyBorder="0" applyProtection="0"/>
    <xf numFmtId="9" fontId="19" fillId="0" borderId="0" applyBorder="0" applyProtection="0"/>
  </cellStyleXfs>
  <cellXfs count="87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2" fillId="0" borderId="0" xfId="0" applyNumberFormat="1" applyFont="1"/>
    <xf numFmtId="0" fontId="60" fillId="0" borderId="0" xfId="0" applyFont="1" applyBorder="1" applyAlignment="1">
      <alignment horizontal="center"/>
    </xf>
    <xf numFmtId="0" fontId="62" fillId="0" borderId="4" xfId="0" applyFont="1" applyFill="1" applyBorder="1" applyAlignment="1">
      <alignment horizontal="center" vertical="center"/>
    </xf>
    <xf numFmtId="0" fontId="63" fillId="13" borderId="53" xfId="0" applyFont="1" applyFill="1" applyBorder="1" applyAlignment="1">
      <alignment horizontal="center" vertical="center"/>
    </xf>
    <xf numFmtId="177" fontId="63" fillId="13" borderId="53" xfId="1" applyNumberFormat="1" applyFont="1" applyFill="1" applyBorder="1" applyAlignment="1">
      <alignment horizontal="center" vertical="center"/>
    </xf>
    <xf numFmtId="0" fontId="63" fillId="13" borderId="55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177" fontId="59" fillId="0" borderId="0" xfId="0" applyNumberFormat="1" applyFont="1" applyFill="1" applyBorder="1" applyAlignment="1">
      <alignment horizontal="center" vertical="center"/>
    </xf>
    <xf numFmtId="10" fontId="59" fillId="0" borderId="0" xfId="0" applyNumberFormat="1" applyFont="1" applyFill="1" applyBorder="1" applyAlignment="1">
      <alignment horizontal="center" vertical="center"/>
    </xf>
    <xf numFmtId="0" fontId="59" fillId="0" borderId="34" xfId="1" applyNumberFormat="1" applyFont="1" applyFill="1" applyBorder="1" applyAlignment="1" applyProtection="1">
      <alignment horizontal="center" vertical="center"/>
    </xf>
    <xf numFmtId="0" fontId="62" fillId="0" borderId="4" xfId="0" applyFont="1" applyFill="1" applyBorder="1" applyAlignment="1">
      <alignment horizontal="center" vertical="center" wrapText="1"/>
    </xf>
    <xf numFmtId="0" fontId="62" fillId="0" borderId="54" xfId="0" applyFont="1" applyFill="1" applyBorder="1" applyAlignment="1">
      <alignment horizontal="center" vertical="center" wrapText="1"/>
    </xf>
    <xf numFmtId="0" fontId="59" fillId="0" borderId="35" xfId="0" applyFont="1" applyFill="1" applyBorder="1" applyAlignment="1">
      <alignment horizontal="center" vertical="center"/>
    </xf>
    <xf numFmtId="177" fontId="59" fillId="0" borderId="6" xfId="0" applyNumberFormat="1" applyFont="1" applyFill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10" borderId="9" xfId="0" applyFont="1" applyFill="1" applyBorder="1" applyAlignment="1">
      <alignment horizontal="center" vertical="center"/>
    </xf>
    <xf numFmtId="0" fontId="62" fillId="0" borderId="34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62" fillId="0" borderId="54" xfId="0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horizontal="center" vertical="center"/>
    </xf>
    <xf numFmtId="0" fontId="66" fillId="12" borderId="0" xfId="0" applyFont="1" applyFill="1" applyBorder="1" applyAlignment="1">
      <alignment horizontal="center" vertical="center"/>
    </xf>
    <xf numFmtId="164" fontId="66" fillId="12" borderId="18" xfId="1" applyNumberFormat="1" applyFont="1" applyFill="1" applyBorder="1" applyAlignment="1">
      <alignment horizontal="center" vertical="center" wrapText="1"/>
    </xf>
    <xf numFmtId="0" fontId="66" fillId="12" borderId="18" xfId="1" applyNumberFormat="1" applyFont="1" applyFill="1" applyBorder="1" applyAlignment="1">
      <alignment horizontal="center" vertical="center" wrapText="1"/>
    </xf>
    <xf numFmtId="0" fontId="63" fillId="0" borderId="53" xfId="0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177" fontId="63" fillId="0" borderId="0" xfId="0" applyNumberFormat="1" applyFont="1" applyFill="1" applyBorder="1" applyAlignment="1">
      <alignment horizontal="center" vertical="center"/>
    </xf>
    <xf numFmtId="10" fontId="63" fillId="0" borderId="0" xfId="0" applyNumberFormat="1" applyFont="1" applyFill="1" applyBorder="1" applyAlignment="1">
      <alignment horizontal="center" vertical="center"/>
    </xf>
    <xf numFmtId="177" fontId="63" fillId="0" borderId="0" xfId="1" applyNumberFormat="1" applyFont="1" applyFill="1" applyBorder="1" applyAlignment="1">
      <alignment horizontal="center" vertical="center" wrapText="1"/>
    </xf>
    <xf numFmtId="177" fontId="63" fillId="0" borderId="0" xfId="1" applyNumberFormat="1" applyFont="1" applyFill="1" applyBorder="1" applyAlignment="1">
      <alignment horizontal="center" vertical="center"/>
    </xf>
    <xf numFmtId="0" fontId="64" fillId="10" borderId="49" xfId="0" applyFont="1" applyFill="1" applyBorder="1" applyAlignment="1">
      <alignment horizontal="center" vertical="center"/>
    </xf>
    <xf numFmtId="177" fontId="64" fillId="10" borderId="49" xfId="0" applyNumberFormat="1" applyFont="1" applyFill="1" applyBorder="1" applyAlignment="1">
      <alignment horizontal="center" vertical="center"/>
    </xf>
    <xf numFmtId="10" fontId="64" fillId="10" borderId="49" xfId="0" applyNumberFormat="1" applyFont="1" applyFill="1" applyBorder="1" applyAlignment="1">
      <alignment horizontal="center" vertical="center"/>
    </xf>
    <xf numFmtId="177" fontId="64" fillId="10" borderId="10" xfId="1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177" fontId="59" fillId="0" borderId="0" xfId="1" applyNumberFormat="1" applyFont="1" applyFill="1" applyBorder="1" applyAlignment="1" applyProtection="1">
      <alignment horizontal="center" vertical="center"/>
    </xf>
    <xf numFmtId="0" fontId="61" fillId="0" borderId="0" xfId="0" applyFont="1" applyFill="1"/>
    <xf numFmtId="0" fontId="64" fillId="13" borderId="20" xfId="0" applyFont="1" applyFill="1" applyBorder="1" applyAlignment="1">
      <alignment horizontal="center" vertical="center"/>
    </xf>
    <xf numFmtId="0" fontId="64" fillId="13" borderId="21" xfId="1" applyNumberFormat="1" applyFont="1" applyFill="1" applyBorder="1" applyAlignment="1">
      <alignment horizontal="center" vertical="center" wrapText="1"/>
    </xf>
    <xf numFmtId="177" fontId="64" fillId="13" borderId="23" xfId="1" applyNumberFormat="1" applyFont="1" applyFill="1" applyBorder="1" applyAlignment="1">
      <alignment horizontal="center" vertical="center" wrapText="1"/>
    </xf>
    <xf numFmtId="0" fontId="64" fillId="0" borderId="24" xfId="0" applyFont="1" applyBorder="1" applyAlignment="1">
      <alignment horizontal="center"/>
    </xf>
    <xf numFmtId="177" fontId="64" fillId="0" borderId="25" xfId="0" applyNumberFormat="1" applyFont="1" applyBorder="1" applyAlignment="1">
      <alignment horizontal="center" vertical="center"/>
    </xf>
    <xf numFmtId="0" fontId="64" fillId="13" borderId="32" xfId="0" applyFont="1" applyFill="1" applyBorder="1" applyAlignment="1">
      <alignment horizontal="center" vertical="center"/>
    </xf>
    <xf numFmtId="0" fontId="64" fillId="13" borderId="29" xfId="0" applyFont="1" applyFill="1" applyBorder="1" applyAlignment="1">
      <alignment horizontal="center" vertical="center"/>
    </xf>
    <xf numFmtId="177" fontId="64" fillId="13" borderId="31" xfId="1" applyNumberFormat="1" applyFont="1" applyFill="1" applyBorder="1" applyAlignment="1">
      <alignment horizontal="center" vertical="center"/>
    </xf>
    <xf numFmtId="0" fontId="63" fillId="15" borderId="0" xfId="0" applyFont="1" applyFill="1" applyBorder="1" applyAlignment="1">
      <alignment horizontal="center" vertical="center"/>
    </xf>
    <xf numFmtId="177" fontId="63" fillId="15" borderId="0" xfId="1" applyNumberFormat="1" applyFont="1" applyFill="1" applyBorder="1" applyAlignment="1">
      <alignment horizontal="center" vertical="center" wrapText="1"/>
    </xf>
    <xf numFmtId="177" fontId="63" fillId="15" borderId="0" xfId="1" applyNumberFormat="1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left" vertical="center"/>
    </xf>
    <xf numFmtId="10" fontId="59" fillId="16" borderId="0" xfId="0" applyNumberFormat="1" applyFont="1" applyFill="1" applyBorder="1" applyAlignment="1" applyProtection="1">
      <alignment horizontal="center" vertical="center"/>
      <protection locked="0"/>
    </xf>
    <xf numFmtId="177" fontId="62" fillId="16" borderId="0" xfId="1" applyNumberFormat="1" applyFont="1" applyFill="1" applyBorder="1" applyAlignment="1" applyProtection="1">
      <alignment vertical="center"/>
    </xf>
    <xf numFmtId="177" fontId="64" fillId="16" borderId="0" xfId="1" applyNumberFormat="1" applyFont="1" applyFill="1" applyBorder="1" applyAlignment="1">
      <alignment horizontal="center" vertical="center" wrapText="1"/>
    </xf>
    <xf numFmtId="177" fontId="67" fillId="16" borderId="0" xfId="1" applyNumberFormat="1" applyFont="1" applyFill="1" applyBorder="1" applyAlignment="1">
      <alignment horizontal="center" vertical="center"/>
    </xf>
    <xf numFmtId="0" fontId="60" fillId="16" borderId="0" xfId="0" applyFont="1" applyFill="1" applyBorder="1" applyAlignment="1">
      <alignment horizontal="center"/>
    </xf>
    <xf numFmtId="0" fontId="61" fillId="16" borderId="0" xfId="0" applyFont="1" applyFill="1"/>
    <xf numFmtId="0" fontId="61" fillId="16" borderId="18" xfId="0" applyFont="1" applyFill="1" applyBorder="1" applyAlignment="1">
      <alignment horizontal="center"/>
    </xf>
    <xf numFmtId="0" fontId="61" fillId="16" borderId="0" xfId="0" applyFont="1" applyFill="1" applyBorder="1" applyAlignment="1">
      <alignment horizontal="center"/>
    </xf>
    <xf numFmtId="0" fontId="61" fillId="16" borderId="0" xfId="0" applyFont="1" applyFill="1" applyBorder="1" applyAlignment="1">
      <alignment horizontal="center" vertical="center"/>
    </xf>
    <xf numFmtId="0" fontId="61" fillId="16" borderId="0" xfId="0" applyFont="1" applyFill="1" applyBorder="1"/>
    <xf numFmtId="0" fontId="59" fillId="16" borderId="0" xfId="0" applyFont="1" applyFill="1" applyBorder="1"/>
    <xf numFmtId="10" fontId="59" fillId="16" borderId="0" xfId="0" applyNumberFormat="1" applyFont="1" applyFill="1" applyBorder="1" applyAlignment="1">
      <alignment horizontal="center" vertical="center"/>
    </xf>
    <xf numFmtId="177" fontId="60" fillId="16" borderId="0" xfId="0" applyNumberFormat="1" applyFont="1" applyFill="1" applyBorder="1" applyAlignment="1">
      <alignment horizontal="center"/>
    </xf>
    <xf numFmtId="177" fontId="61" fillId="16" borderId="0" xfId="0" applyNumberFormat="1" applyFont="1" applyFill="1" applyBorder="1" applyAlignment="1">
      <alignment horizontal="center" vertical="center"/>
    </xf>
    <xf numFmtId="0" fontId="59" fillId="10" borderId="0" xfId="1" applyNumberFormat="1" applyFont="1" applyFill="1" applyBorder="1" applyAlignment="1" applyProtection="1">
      <alignment horizontal="center" vertical="center"/>
    </xf>
    <xf numFmtId="0" fontId="61" fillId="10" borderId="0" xfId="0" applyFont="1" applyFill="1"/>
    <xf numFmtId="0" fontId="62" fillId="10" borderId="0" xfId="0" applyFont="1" applyFill="1" applyBorder="1" applyAlignment="1">
      <alignment horizontal="center" vertical="center" wrapText="1"/>
    </xf>
    <xf numFmtId="10" fontId="62" fillId="10" borderId="0" xfId="0" applyNumberFormat="1" applyFont="1" applyFill="1" applyBorder="1" applyAlignment="1" applyProtection="1">
      <alignment horizontal="center" vertical="center"/>
    </xf>
    <xf numFmtId="177" fontId="59" fillId="10" borderId="0" xfId="0" applyNumberFormat="1" applyFont="1" applyFill="1" applyBorder="1" applyAlignment="1" applyProtection="1">
      <alignment horizontal="center" vertical="center"/>
      <protection locked="0"/>
    </xf>
    <xf numFmtId="0" fontId="62" fillId="10" borderId="0" xfId="0" applyFont="1" applyFill="1" applyBorder="1" applyAlignment="1">
      <alignment horizontal="left" vertical="center"/>
    </xf>
    <xf numFmtId="10" fontId="59" fillId="10" borderId="0" xfId="0" applyNumberFormat="1" applyFont="1" applyFill="1" applyBorder="1" applyAlignment="1" applyProtection="1">
      <alignment horizontal="center" vertical="center"/>
      <protection locked="0"/>
    </xf>
    <xf numFmtId="177" fontId="62" fillId="10" borderId="0" xfId="1" applyNumberFormat="1" applyFont="1" applyFill="1" applyBorder="1" applyAlignment="1" applyProtection="1">
      <alignment vertical="center"/>
    </xf>
    <xf numFmtId="177" fontId="64" fillId="10" borderId="0" xfId="0" applyNumberFormat="1" applyFont="1" applyFill="1" applyBorder="1" applyAlignment="1">
      <alignment horizontal="center" vertical="center" wrapText="1"/>
    </xf>
    <xf numFmtId="0" fontId="68" fillId="10" borderId="0" xfId="0" applyFont="1" applyFill="1" applyBorder="1" applyAlignment="1">
      <alignment horizontal="center"/>
    </xf>
    <xf numFmtId="177" fontId="64" fillId="10" borderId="0" xfId="0" applyNumberFormat="1" applyFont="1" applyFill="1" applyBorder="1" applyAlignment="1">
      <alignment horizontal="center" vertical="center"/>
    </xf>
    <xf numFmtId="0" fontId="60" fillId="10" borderId="0" xfId="0" applyFont="1" applyFill="1" applyBorder="1" applyAlignment="1">
      <alignment horizontal="center"/>
    </xf>
    <xf numFmtId="177" fontId="60" fillId="10" borderId="0" xfId="0" applyNumberFormat="1" applyFont="1" applyFill="1" applyBorder="1" applyAlignment="1">
      <alignment horizontal="center"/>
    </xf>
    <xf numFmtId="0" fontId="61" fillId="10" borderId="0" xfId="0" applyFont="1" applyFill="1" applyAlignment="1">
      <alignment vertical="center"/>
    </xf>
    <xf numFmtId="177" fontId="60" fillId="10" borderId="0" xfId="0" applyNumberFormat="1" applyFont="1" applyFill="1" applyBorder="1" applyAlignment="1">
      <alignment horizontal="center" vertical="center"/>
    </xf>
    <xf numFmtId="0" fontId="60" fillId="10" borderId="0" xfId="0" applyFont="1" applyFill="1" applyBorder="1" applyAlignment="1">
      <alignment horizontal="center" vertical="center"/>
    </xf>
    <xf numFmtId="0" fontId="61" fillId="10" borderId="0" xfId="0" applyFont="1" applyFill="1" applyBorder="1"/>
    <xf numFmtId="177" fontId="61" fillId="10" borderId="0" xfId="0" applyNumberFormat="1" applyFont="1" applyFill="1" applyBorder="1" applyAlignment="1">
      <alignment horizontal="center" vertical="center"/>
    </xf>
    <xf numFmtId="177" fontId="64" fillId="14" borderId="49" xfId="0" applyNumberFormat="1" applyFont="1" applyFill="1" applyBorder="1" applyAlignment="1">
      <alignment horizontal="center" vertical="center"/>
    </xf>
    <xf numFmtId="177" fontId="64" fillId="17" borderId="21" xfId="0" applyNumberFormat="1" applyFont="1" applyFill="1" applyBorder="1" applyAlignment="1">
      <alignment horizontal="center" vertical="center" wrapText="1"/>
    </xf>
    <xf numFmtId="177" fontId="64" fillId="14" borderId="2" xfId="0" applyNumberFormat="1" applyFont="1" applyFill="1" applyBorder="1" applyAlignment="1">
      <alignment horizontal="center" vertical="center" wrapText="1"/>
    </xf>
    <xf numFmtId="177" fontId="64" fillId="17" borderId="29" xfId="0" applyNumberFormat="1" applyFont="1" applyFill="1" applyBorder="1" applyAlignment="1">
      <alignment horizontal="center" vertical="center" wrapText="1"/>
    </xf>
    <xf numFmtId="177" fontId="69" fillId="13" borderId="53" xfId="1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164" fontId="66" fillId="0" borderId="18" xfId="1" applyNumberFormat="1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66" fillId="0" borderId="61" xfId="0" applyFont="1" applyFill="1" applyBorder="1" applyAlignment="1">
      <alignment horizontal="center" vertical="center" wrapText="1"/>
    </xf>
    <xf numFmtId="0" fontId="66" fillId="0" borderId="63" xfId="0" applyFont="1" applyFill="1" applyBorder="1" applyAlignment="1">
      <alignment horizontal="center" vertical="center" wrapText="1"/>
    </xf>
    <xf numFmtId="0" fontId="63" fillId="0" borderId="55" xfId="0" applyFont="1" applyFill="1" applyBorder="1" applyAlignment="1">
      <alignment horizontal="center" vertical="center"/>
    </xf>
    <xf numFmtId="177" fontId="63" fillId="0" borderId="53" xfId="0" applyNumberFormat="1" applyFont="1" applyFill="1" applyBorder="1" applyAlignment="1">
      <alignment horizontal="center" vertical="center"/>
    </xf>
    <xf numFmtId="177" fontId="63" fillId="0" borderId="43" xfId="0" applyNumberFormat="1" applyFont="1" applyFill="1" applyBorder="1" applyAlignment="1">
      <alignment horizontal="center" vertical="center"/>
    </xf>
    <xf numFmtId="10" fontId="63" fillId="0" borderId="62" xfId="0" applyNumberFormat="1" applyFont="1" applyFill="1" applyBorder="1" applyAlignment="1">
      <alignment horizontal="center" vertical="center"/>
    </xf>
    <xf numFmtId="177" fontId="63" fillId="0" borderId="53" xfId="1" applyNumberFormat="1" applyFont="1" applyFill="1" applyBorder="1" applyAlignment="1">
      <alignment horizontal="center" vertical="center" wrapText="1"/>
    </xf>
    <xf numFmtId="177" fontId="63" fillId="0" borderId="53" xfId="1" applyNumberFormat="1" applyFont="1" applyFill="1" applyBorder="1" applyAlignment="1">
      <alignment horizontal="center" vertical="center"/>
    </xf>
    <xf numFmtId="177" fontId="59" fillId="9" borderId="3" xfId="0" applyNumberFormat="1" applyFont="1" applyFill="1" applyBorder="1" applyAlignment="1" applyProtection="1">
      <alignment horizontal="center" vertical="center"/>
    </xf>
    <xf numFmtId="177" fontId="59" fillId="0" borderId="3" xfId="0" applyNumberFormat="1" applyFont="1" applyFill="1" applyBorder="1" applyAlignment="1" applyProtection="1">
      <alignment horizontal="center" vertical="center"/>
    </xf>
    <xf numFmtId="10" fontId="59" fillId="6" borderId="39" xfId="0" applyNumberFormat="1" applyFont="1" applyFill="1" applyBorder="1" applyAlignment="1" applyProtection="1">
      <alignment horizontal="center" vertical="center"/>
      <protection locked="0"/>
    </xf>
    <xf numFmtId="177" fontId="59" fillId="11" borderId="3" xfId="1" applyNumberFormat="1" applyFont="1" applyFill="1" applyBorder="1" applyAlignment="1" applyProtection="1">
      <alignment horizontal="center" vertical="center"/>
    </xf>
    <xf numFmtId="177" fontId="59" fillId="0" borderId="3" xfId="1" applyNumberFormat="1" applyFont="1" applyFill="1" applyBorder="1" applyAlignment="1" applyProtection="1">
      <alignment horizontal="center" vertical="center"/>
    </xf>
    <xf numFmtId="177" fontId="69" fillId="0" borderId="53" xfId="1" applyNumberFormat="1" applyFont="1" applyFill="1" applyBorder="1" applyAlignment="1">
      <alignment horizontal="center" vertical="center"/>
    </xf>
    <xf numFmtId="0" fontId="63" fillId="6" borderId="55" xfId="0" applyFont="1" applyFill="1" applyBorder="1" applyAlignment="1" applyProtection="1">
      <alignment horizontal="center" vertical="center"/>
      <protection locked="0"/>
    </xf>
    <xf numFmtId="0" fontId="63" fillId="6" borderId="53" xfId="0" applyFont="1" applyFill="1" applyBorder="1" applyAlignment="1" applyProtection="1">
      <alignment horizontal="center" vertical="center"/>
      <protection locked="0"/>
    </xf>
    <xf numFmtId="0" fontId="59" fillId="19" borderId="16" xfId="0" applyFont="1" applyFill="1" applyBorder="1" applyAlignment="1">
      <alignment horizontal="center" vertical="center"/>
    </xf>
    <xf numFmtId="10" fontId="59" fillId="19" borderId="57" xfId="0" applyNumberFormat="1" applyFont="1" applyFill="1" applyBorder="1" applyAlignment="1">
      <alignment horizontal="center" vertical="center"/>
    </xf>
    <xf numFmtId="177" fontId="59" fillId="19" borderId="59" xfId="0" applyNumberFormat="1" applyFont="1" applyFill="1" applyBorder="1" applyAlignment="1" applyProtection="1">
      <alignment horizontal="center" vertical="center"/>
    </xf>
    <xf numFmtId="177" fontId="59" fillId="19" borderId="59" xfId="1" applyNumberFormat="1" applyFont="1" applyFill="1" applyBorder="1" applyAlignment="1" applyProtection="1">
      <alignment horizontal="center" vertical="center"/>
    </xf>
    <xf numFmtId="0" fontId="60" fillId="0" borderId="0" xfId="0" applyFont="1" applyBorder="1" applyAlignment="1">
      <alignment horizontal="center"/>
    </xf>
    <xf numFmtId="177" fontId="63" fillId="18" borderId="53" xfId="1" applyNumberFormat="1" applyFont="1" applyFill="1" applyBorder="1" applyAlignment="1" applyProtection="1">
      <alignment horizontal="center" vertical="center" wrapText="1"/>
      <protection locked="0"/>
    </xf>
    <xf numFmtId="177" fontId="69" fillId="18" borderId="53" xfId="1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>
      <alignment horizontal="center"/>
    </xf>
    <xf numFmtId="0" fontId="62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59" fillId="11" borderId="50" xfId="0" applyFont="1" applyFill="1" applyBorder="1" applyAlignment="1">
      <alignment horizontal="center" vertical="center"/>
    </xf>
    <xf numFmtId="0" fontId="59" fillId="11" borderId="51" xfId="0" applyFont="1" applyFill="1" applyBorder="1" applyAlignment="1">
      <alignment horizontal="center" vertical="center"/>
    </xf>
    <xf numFmtId="0" fontId="59" fillId="11" borderId="58" xfId="0" applyFont="1" applyFill="1" applyBorder="1" applyAlignment="1">
      <alignment horizontal="center" vertical="center"/>
    </xf>
    <xf numFmtId="0" fontId="59" fillId="11" borderId="27" xfId="0" applyFont="1" applyFill="1" applyBorder="1" applyAlignment="1">
      <alignment horizontal="center" vertical="center"/>
    </xf>
    <xf numFmtId="0" fontId="59" fillId="11" borderId="52" xfId="0" applyFont="1" applyFill="1" applyBorder="1" applyAlignment="1">
      <alignment horizontal="center" vertical="center"/>
    </xf>
    <xf numFmtId="0" fontId="59" fillId="11" borderId="28" xfId="0" applyFont="1" applyFill="1" applyBorder="1" applyAlignment="1">
      <alignment horizontal="center" vertical="center"/>
    </xf>
    <xf numFmtId="177" fontId="59" fillId="11" borderId="22" xfId="0" applyNumberFormat="1" applyFont="1" applyFill="1" applyBorder="1" applyAlignment="1">
      <alignment horizontal="center" vertical="center"/>
    </xf>
    <xf numFmtId="177" fontId="59" fillId="11" borderId="51" xfId="0" applyNumberFormat="1" applyFont="1" applyFill="1" applyBorder="1" applyAlignment="1">
      <alignment horizontal="center" vertical="center"/>
    </xf>
    <xf numFmtId="177" fontId="59" fillId="11" borderId="40" xfId="0" applyNumberFormat="1" applyFont="1" applyFill="1" applyBorder="1" applyAlignment="1">
      <alignment horizontal="center" vertical="center"/>
    </xf>
    <xf numFmtId="177" fontId="59" fillId="11" borderId="30" xfId="0" applyNumberFormat="1" applyFont="1" applyFill="1" applyBorder="1" applyAlignment="1">
      <alignment horizontal="center" vertical="center"/>
    </xf>
    <xf numFmtId="177" fontId="59" fillId="11" borderId="52" xfId="0" applyNumberFormat="1" applyFont="1" applyFill="1" applyBorder="1" applyAlignment="1">
      <alignment horizontal="center" vertical="center"/>
    </xf>
    <xf numFmtId="177" fontId="59" fillId="11" borderId="42" xfId="0" applyNumberFormat="1" applyFont="1" applyFill="1" applyBorder="1" applyAlignment="1">
      <alignment horizontal="center" vertical="center"/>
    </xf>
    <xf numFmtId="0" fontId="59" fillId="9" borderId="15" xfId="0" applyFont="1" applyFill="1" applyBorder="1" applyAlignment="1">
      <alignment horizontal="center"/>
    </xf>
    <xf numFmtId="0" fontId="59" fillId="9" borderId="60" xfId="0" applyFont="1" applyFill="1" applyBorder="1" applyAlignment="1">
      <alignment horizontal="center"/>
    </xf>
    <xf numFmtId="0" fontId="59" fillId="9" borderId="56" xfId="0" applyFont="1" applyFill="1" applyBorder="1" applyAlignment="1">
      <alignment horizontal="center"/>
    </xf>
    <xf numFmtId="0" fontId="59" fillId="9" borderId="57" xfId="0" applyFont="1" applyFill="1" applyBorder="1" applyAlignment="1">
      <alignment horizontal="center"/>
    </xf>
    <xf numFmtId="0" fontId="59" fillId="9" borderId="19" xfId="0" applyFont="1" applyFill="1" applyBorder="1" applyAlignment="1">
      <alignment horizont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63" fillId="6" borderId="4" xfId="0" applyFont="1" applyFill="1" applyBorder="1" applyAlignment="1" applyProtection="1">
      <alignment horizontal="center" vertical="center"/>
      <protection locked="0"/>
    </xf>
    <xf numFmtId="0" fontId="69" fillId="6" borderId="3" xfId="0" applyFont="1" applyFill="1" applyBorder="1" applyAlignment="1" applyProtection="1">
      <alignment horizontal="center" vertical="center"/>
      <protection locked="0"/>
    </xf>
    <xf numFmtId="177" fontId="69" fillId="0" borderId="3" xfId="0" applyNumberFormat="1" applyFont="1" applyFill="1" applyBorder="1" applyAlignment="1">
      <alignment horizontal="center" vertical="center"/>
    </xf>
    <xf numFmtId="177" fontId="69" fillId="0" borderId="25" xfId="0" applyNumberFormat="1" applyFont="1" applyFill="1" applyBorder="1" applyAlignment="1">
      <alignment horizontal="center" vertical="center"/>
    </xf>
    <xf numFmtId="10" fontId="69" fillId="0" borderId="64" xfId="0" applyNumberFormat="1" applyFont="1" applyFill="1" applyBorder="1" applyAlignment="1">
      <alignment horizontal="center" vertical="center"/>
    </xf>
    <xf numFmtId="177" fontId="63" fillId="0" borderId="3" xfId="1" applyNumberFormat="1" applyFont="1" applyFill="1" applyBorder="1" applyAlignment="1">
      <alignment horizontal="center" vertical="center" wrapText="1"/>
    </xf>
    <xf numFmtId="177" fontId="63" fillId="0" borderId="3" xfId="1" applyNumberFormat="1" applyFont="1" applyFill="1" applyBorder="1" applyAlignment="1">
      <alignment horizontal="center" vertical="center"/>
    </xf>
    <xf numFmtId="0" fontId="63" fillId="6" borderId="2" xfId="0" applyFont="1" applyFill="1" applyBorder="1" applyAlignment="1" applyProtection="1">
      <alignment horizontal="center" vertical="center"/>
      <protection locked="0"/>
    </xf>
    <xf numFmtId="0" fontId="69" fillId="6" borderId="2" xfId="0" applyFont="1" applyFill="1" applyBorder="1" applyAlignment="1" applyProtection="1">
      <alignment horizontal="center" vertical="center"/>
      <protection locked="0"/>
    </xf>
    <xf numFmtId="177" fontId="69" fillId="0" borderId="2" xfId="0" applyNumberFormat="1" applyFont="1" applyFill="1" applyBorder="1" applyAlignment="1">
      <alignment horizontal="center" vertical="center"/>
    </xf>
    <xf numFmtId="10" fontId="69" fillId="0" borderId="2" xfId="0" applyNumberFormat="1" applyFont="1" applyFill="1" applyBorder="1" applyAlignment="1">
      <alignment horizontal="center" vertical="center"/>
    </xf>
    <xf numFmtId="177" fontId="63" fillId="0" borderId="2" xfId="1" applyNumberFormat="1" applyFont="1" applyFill="1" applyBorder="1" applyAlignment="1">
      <alignment horizontal="center" vertical="center" wrapText="1"/>
    </xf>
    <xf numFmtId="177" fontId="63" fillId="0" borderId="2" xfId="1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</border>
    </dxf>
    <dxf>
      <border outline="0">
        <bottom style="thin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</border>
    </dxf>
    <dxf>
      <border outline="0">
        <bottom style="thin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</border>
    </dxf>
    <dxf>
      <border outline="0">
        <bottom style="thin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</border>
    </dxf>
    <dxf>
      <border outline="0">
        <bottom style="thin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R$&quot;\ #,##0.00"/>
      <fill>
        <patternFill patternType="solid">
          <fgColor theme="4" tint="0.79998168889431442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7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 outline="0"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a3" displayName="Tabela3" ref="A24:C28" totalsRowShown="0" headerRowDxfId="159" dataDxfId="157" headerRowBorderDxfId="158" tableBorderDxfId="156" totalsRowBorderDxfId="155">
  <autoFilter ref="A24:C28"/>
  <tableColumns count="3">
    <tableColumn id="1" name="C - Tributação" dataDxfId="154"/>
    <tableColumn id="2" name="Percentuais" dataDxfId="153"/>
    <tableColumn id="3" name="Valores (R$)" dataDxfId="152" dataCellStyle="Vírgul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ela5" displayName="Tabela5" ref="A18:C22" totalsRowShown="0" headerRowDxfId="151" dataDxfId="149" headerRowBorderDxfId="150" tableBorderDxfId="148">
  <autoFilter ref="A18:C22"/>
  <tableColumns count="3">
    <tableColumn id="1" name="B - Percentuais" dataDxfId="147"/>
    <tableColumn id="2" name="(%)" dataDxfId="146"/>
    <tableColumn id="3" name="Valor mensal" dataDxfId="1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Tabela8" displayName="Tabela8" ref="A9:D12" totalsRowShown="0" tableBorderDxfId="144">
  <autoFilter ref="A9:D12"/>
  <tableColumns count="4">
    <tableColumn id="1" name="FUNÇÕES" dataDxfId="143">
      <calculatedColumnFormula>A3</calculatedColumnFormula>
    </tableColumn>
    <tableColumn id="2" name="Horas /Mês" dataDxfId="142">
      <calculatedColumnFormula>B3</calculatedColumnFormula>
    </tableColumn>
    <tableColumn id="3" name="Valor da Hora (Bruta)" dataDxfId="141" dataCellStyle="Vírgula"/>
    <tableColumn id="4" name="Valor Mensal (Bruto)" dataDxfId="140" dataCellStyle="Vírgula">
      <calculatedColumnFormula>B10*C10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Tabela9" displayName="Tabela9" ref="A2:I5" totalsRowShown="0" headerRowDxfId="139" dataDxfId="138" tableBorderDxfId="137">
  <autoFilter ref="A2:I5"/>
  <tableColumns count="9">
    <tableColumn id="1" name="FUNÇÕES" dataDxfId="136"/>
    <tableColumn id="2" name="Horas /Mês" dataDxfId="135"/>
    <tableColumn id="3" name="Hora Líquida/ Mês" dataDxfId="134">
      <calculatedColumnFormula>IFERROR(H3-G3-F3,0)</calculatedColumnFormula>
    </tableColumn>
    <tableColumn id="4" name="Total Hora líquida /Mês" dataDxfId="133">
      <calculatedColumnFormula>IFERROR(B3*C3,0)</calculatedColumnFormula>
    </tableColumn>
    <tableColumn id="5" name="Proporção" dataDxfId="132">
      <calculatedColumnFormula>IFERROR(I3/$I$7,0)</calculatedColumnFormula>
    </tableColumn>
    <tableColumn id="6" name="Encargos (A) sobre hora" dataDxfId="131">
      <calculatedColumnFormula>IFERROR(($C$22*E3)/B3,0)</calculatedColumnFormula>
    </tableColumn>
    <tableColumn id="7" name="Tributos (B) _x000a_sobre hora" dataDxfId="130">
      <calculatedColumnFormula>IFERROR(($C$28*E3)/B3,0)</calculatedColumnFormula>
    </tableColumn>
    <tableColumn id="8" name="Valor da Hora _x000a_com A+B" dataDxfId="129" dataCellStyle="Vírgula">
      <calculatedColumnFormula>C10</calculatedColumnFormula>
    </tableColumn>
    <tableColumn id="9" name="Valor da hora bruta /Mês" dataDxfId="128" dataCellStyle="Vírgula">
      <calculatedColumnFormula>D10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ela32" displayName="Tabela32" ref="A32:C36" totalsRowShown="0" headerRowDxfId="127" dataDxfId="126" headerRowBorderDxfId="124" tableBorderDxfId="125" totalsRowBorderDxfId="123">
  <autoFilter ref="A32:C36"/>
  <tableColumns count="3">
    <tableColumn id="1" name="C - Tributação" dataDxfId="122"/>
    <tableColumn id="2" name="Percentuais" dataDxfId="121"/>
    <tableColumn id="3" name="Valores (R$)" dataDxfId="120" dataCellStyle="Vírgul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ela53" displayName="Tabela53" ref="A26:C30" totalsRowShown="0" headerRowDxfId="119" dataDxfId="118" headerRowBorderDxfId="116" tableBorderDxfId="117">
  <autoFilter ref="A26:C30"/>
  <tableColumns count="3">
    <tableColumn id="1" name="B - Percentuais" dataDxfId="115"/>
    <tableColumn id="2" name="(%)" dataDxfId="114"/>
    <tableColumn id="3" name="Valor mensal" dataDxfId="11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ela85" displayName="Tabela85" ref="A13:D20" totalsRowShown="0" tableBorderDxfId="112">
  <autoFilter ref="A13:D20"/>
  <tableColumns count="4">
    <tableColumn id="1" name="FUNÇÕES" dataDxfId="111">
      <calculatedColumnFormula>A3</calculatedColumnFormula>
    </tableColumn>
    <tableColumn id="2" name="Horas /Mês" dataDxfId="110">
      <calculatedColumnFormula>B3</calculatedColumnFormula>
    </tableColumn>
    <tableColumn id="3" name="Valor da Hora (Bruta)" dataDxfId="109" dataCellStyle="Vírgula"/>
    <tableColumn id="4" name="Valor Mensal (Bruto)" dataDxfId="108" dataCellStyle="Vírgula">
      <calculatedColumnFormula>B14*C14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Tabela97" displayName="Tabela97" ref="A2:I9" totalsRowShown="0" headerRowDxfId="107" dataDxfId="106" tableBorderDxfId="105">
  <autoFilter ref="A2:I9"/>
  <tableColumns count="9">
    <tableColumn id="1" name="FUNÇÕES" dataDxfId="104"/>
    <tableColumn id="2" name="Horas /Mês" dataDxfId="103"/>
    <tableColumn id="3" name="Hora Líquida/ Mês" dataDxfId="102">
      <calculatedColumnFormula>IFERROR(H3-G3-F3,0)</calculatedColumnFormula>
    </tableColumn>
    <tableColumn id="4" name="Total Hora líquida /Mês" dataDxfId="101">
      <calculatedColumnFormula>IFERROR(B3*C3,0)</calculatedColumnFormula>
    </tableColumn>
    <tableColumn id="5" name="Proporção" dataDxfId="100">
      <calculatedColumnFormula>IFERROR(I3/$I$11,0)</calculatedColumnFormula>
    </tableColumn>
    <tableColumn id="6" name="Encargos (A) sobre hora" dataDxfId="99">
      <calculatedColumnFormula>IFERROR(($C$30*E3)/B3,0)</calculatedColumnFormula>
    </tableColumn>
    <tableColumn id="7" name="Tributos (B) _x000a_sobre hora" dataDxfId="98">
      <calculatedColumnFormula>IFERROR(($C$36*E3)/B3,0)</calculatedColumnFormula>
    </tableColumn>
    <tableColumn id="8" name="Valor da Hora _x000a_com A+B" dataDxfId="97" dataCellStyle="Vírgula">
      <calculatedColumnFormula>C14</calculatedColumnFormula>
    </tableColumn>
    <tableColumn id="9" name="Valor da hora bruta /Mês" dataDxfId="96" dataCellStyle="Vírgula">
      <calculatedColumnFormula>D14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Tabela328" displayName="Tabela328" ref="A26:C30" totalsRowShown="0" headerRowDxfId="95" dataDxfId="94" headerRowBorderDxfId="92" tableBorderDxfId="93" totalsRowBorderDxfId="91">
  <autoFilter ref="A26:C30"/>
  <tableColumns count="3">
    <tableColumn id="1" name="C - Tributação" dataDxfId="90"/>
    <tableColumn id="2" name="Percentuais" dataDxfId="89"/>
    <tableColumn id="3" name="Valores (R$)" dataDxfId="88" dataCellStyle="Vírgul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a5311" displayName="Tabela5311" ref="A20:C24" totalsRowShown="0" headerRowDxfId="87" dataDxfId="86" headerRowBorderDxfId="84" tableBorderDxfId="85">
  <autoFilter ref="A20:C24"/>
  <tableColumns count="3">
    <tableColumn id="1" name="B - Percentuais" dataDxfId="83"/>
    <tableColumn id="2" name="(%)" dataDxfId="82"/>
    <tableColumn id="3" name="Valor mensal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a8512" displayName="Tabela8512" ref="A10:D14" totalsRowShown="0" tableBorderDxfId="80">
  <autoFilter ref="A10:D14"/>
  <tableColumns count="4">
    <tableColumn id="1" name="FUNÇÕES" dataDxfId="79">
      <calculatedColumnFormula>A3</calculatedColumnFormula>
    </tableColumn>
    <tableColumn id="2" name="Horas /Mês" dataDxfId="78">
      <calculatedColumnFormula>B3</calculatedColumnFormula>
    </tableColumn>
    <tableColumn id="3" name="Valor da Hora (Bruta)" dataDxfId="77" dataCellStyle="Vírgula"/>
    <tableColumn id="4" name="Valor Mensal (Bruto)" dataDxfId="76" dataCellStyle="Vírgula">
      <calculatedColumnFormula>B11*C11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ela9713" displayName="Tabela9713" ref="A2:I6" totalsRowShown="0" headerRowDxfId="75" dataDxfId="74" tableBorderDxfId="73">
  <autoFilter ref="A2:I6"/>
  <tableColumns count="9">
    <tableColumn id="1" name="FUNÇÕES" dataDxfId="72"/>
    <tableColumn id="2" name="Horas /Mês" dataDxfId="71"/>
    <tableColumn id="3" name="Hora Líquida/ Mês" dataDxfId="70">
      <calculatedColumnFormula>IFERROR(H3-G3-F3,0)</calculatedColumnFormula>
    </tableColumn>
    <tableColumn id="4" name="Total Hora líquida /Mês" dataDxfId="69">
      <calculatedColumnFormula>IFERROR(B3*C3,0)</calculatedColumnFormula>
    </tableColumn>
    <tableColumn id="5" name="Proporção" dataDxfId="68">
      <calculatedColumnFormula>IFERROR(I3/$I$8,0)</calculatedColumnFormula>
    </tableColumn>
    <tableColumn id="6" name="Encargos (A) sobre hora" dataDxfId="67">
      <calculatedColumnFormula>IFERROR(($C$24*E3)/B3,0)</calculatedColumnFormula>
    </tableColumn>
    <tableColumn id="7" name="Tributos (B) _x000a_sobre hora" dataDxfId="66">
      <calculatedColumnFormula>IFERROR(($C$30*E3)/B3,0)</calculatedColumnFormula>
    </tableColumn>
    <tableColumn id="8" name="Valor da Hora _x000a_com A+B" dataDxfId="65" dataCellStyle="Vírgula">
      <calculatedColumnFormula>C11</calculatedColumnFormula>
    </tableColumn>
    <tableColumn id="9" name="Valor da hora bruta /Mês" dataDxfId="64" dataCellStyle="Vírgula">
      <calculatedColumnFormula>D11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ela32814" displayName="Tabela32814" ref="A26:C30" totalsRowShown="0" headerRowDxfId="63" dataDxfId="62" headerRowBorderDxfId="60" tableBorderDxfId="61" totalsRowBorderDxfId="59">
  <autoFilter ref="A26:C30"/>
  <tableColumns count="3">
    <tableColumn id="1" name="C - Tributação" dataDxfId="58"/>
    <tableColumn id="2" name="Percentuais" dataDxfId="57"/>
    <tableColumn id="3" name="Valores (R$)" dataDxfId="56" dataCellStyle="Vírgul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ela531115" displayName="Tabela531115" ref="A20:C24" totalsRowShown="0" headerRowDxfId="55" dataDxfId="54" headerRowBorderDxfId="52" tableBorderDxfId="53">
  <autoFilter ref="A20:C24"/>
  <tableColumns count="3">
    <tableColumn id="1" name="B - Percentuais" dataDxfId="51"/>
    <tableColumn id="2" name="(%)" dataDxfId="50"/>
    <tableColumn id="3" name="Valor mensal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ela851216" displayName="Tabela851216" ref="A10:D14" totalsRowShown="0" tableBorderDxfId="48">
  <autoFilter ref="A10:D14"/>
  <tableColumns count="4">
    <tableColumn id="1" name="FUNÇÕES" dataDxfId="47">
      <calculatedColumnFormula>A3</calculatedColumnFormula>
    </tableColumn>
    <tableColumn id="2" name="Horas /Mês" dataDxfId="46">
      <calculatedColumnFormula>B3</calculatedColumnFormula>
    </tableColumn>
    <tableColumn id="3" name="Valor da Hora (Bruta)" dataDxfId="45" dataCellStyle="Vírgula"/>
    <tableColumn id="4" name="Valor Mensal (Bruto)" dataDxfId="44" dataCellStyle="Vírgula">
      <calculatedColumnFormula>B11*C11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ela971317" displayName="Tabela971317" ref="A2:I6" totalsRowShown="0" headerRowDxfId="43" dataDxfId="42" tableBorderDxfId="41">
  <autoFilter ref="A2:I6"/>
  <tableColumns count="9">
    <tableColumn id="1" name="FUNÇÕES" dataDxfId="40"/>
    <tableColumn id="2" name="Horas /Mês" dataDxfId="39"/>
    <tableColumn id="3" name="Hora Líquida/ Mês" dataDxfId="38">
      <calculatedColumnFormula>IFERROR(H3-G3-F3,0)</calculatedColumnFormula>
    </tableColumn>
    <tableColumn id="4" name="Total Hora líquida /Mês" dataDxfId="37">
      <calculatedColumnFormula>IFERROR(B3*C3,0)</calculatedColumnFormula>
    </tableColumn>
    <tableColumn id="5" name="Proporção" dataDxfId="36">
      <calculatedColumnFormula>IFERROR(I3/$I$8,0)</calculatedColumnFormula>
    </tableColumn>
    <tableColumn id="6" name="Encargos (A) sobre hora" dataDxfId="35">
      <calculatedColumnFormula>IFERROR(($C$24*E3)/B3,0)</calculatedColumnFormula>
    </tableColumn>
    <tableColumn id="7" name="Tributos (B) _x000a_sobre hora" dataDxfId="34">
      <calculatedColumnFormula>IFERROR(($C$30*E3)/B3,0)</calculatedColumnFormula>
    </tableColumn>
    <tableColumn id="8" name="Valor da Hora _x000a_com A+B" dataDxfId="33" dataCellStyle="Vírgula">
      <calculatedColumnFormula>C11</calculatedColumnFormula>
    </tableColumn>
    <tableColumn id="9" name="Valor da hora bruta /Mês" dataDxfId="32" dataCellStyle="Vírgula">
      <calculatedColumnFormula>D11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ela3281418" displayName="Tabela3281418" ref="A20:C24" totalsRowShown="0" headerRowDxfId="31" dataDxfId="30" headerRowBorderDxfId="28" tableBorderDxfId="29" totalsRowBorderDxfId="27">
  <autoFilter ref="A20:C24"/>
  <tableColumns count="3">
    <tableColumn id="1" name="C - Tributação" dataDxfId="26"/>
    <tableColumn id="2" name="Percentuais" dataDxfId="25"/>
    <tableColumn id="3" name="Valores (R$)" dataDxfId="24" dataCellStyle="Vírgul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ela53111519" displayName="Tabela53111519" ref="A14:C18" totalsRowShown="0" headerRowDxfId="23" dataDxfId="22" headerRowBorderDxfId="20" tableBorderDxfId="21">
  <autoFilter ref="A14:C18"/>
  <tableColumns count="3">
    <tableColumn id="1" name="B - Percentuais" dataDxfId="19"/>
    <tableColumn id="2" name="(%)" dataDxfId="18"/>
    <tableColumn id="3" name="Valor mensal" dataDxfId="1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ela85121620" displayName="Tabela85121620" ref="A7:D8" totalsRowShown="0" tableBorderDxfId="16">
  <autoFilter ref="A7:D8"/>
  <tableColumns count="4">
    <tableColumn id="1" name="FUNÇÕES" dataDxfId="15">
      <calculatedColumnFormula>A3</calculatedColumnFormula>
    </tableColumn>
    <tableColumn id="2" name="Horas /Mês" dataDxfId="14">
      <calculatedColumnFormula>B3</calculatedColumnFormula>
    </tableColumn>
    <tableColumn id="3" name="Valor da Hora (Bruta)" dataDxfId="13" dataCellStyle="Vírgula"/>
    <tableColumn id="4" name="Valor Mensal (Bruto)" dataDxfId="12" dataCellStyle="Vírgula">
      <calculatedColumnFormula>B8*C8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ela97131721" displayName="Tabela97131721" ref="A2:I3" totalsRowShown="0" headerRowDxfId="11" dataDxfId="10" tableBorderDxfId="9">
  <autoFilter ref="A2:I3"/>
  <tableColumns count="9">
    <tableColumn id="1" name="FUNÇÕES" dataDxfId="8"/>
    <tableColumn id="2" name="Horas /Mês" dataDxfId="7"/>
    <tableColumn id="3" name="Hora Líquida/ Mês" dataDxfId="6">
      <calculatedColumnFormula>IFERROR(H3-G3-F3,0)</calculatedColumnFormula>
    </tableColumn>
    <tableColumn id="4" name="Total Hora líquida /Mês" dataDxfId="5">
      <calculatedColumnFormula>IFERROR(B3*C3,0)</calculatedColumnFormula>
    </tableColumn>
    <tableColumn id="5" name="Proporção" dataDxfId="4">
      <calculatedColumnFormula>IFERROR(I3/$I$5,0)</calculatedColumnFormula>
    </tableColumn>
    <tableColumn id="6" name="Encargos (A) sobre hora" dataDxfId="3">
      <calculatedColumnFormula>IFERROR(($C$18*E3)/B3,0)</calculatedColumnFormula>
    </tableColumn>
    <tableColumn id="7" name="Tributos (B) _x000a_sobre hora" dataDxfId="2">
      <calculatedColumnFormula>IFERROR(($C$24*E3)/B3,0)</calculatedColumnFormula>
    </tableColumn>
    <tableColumn id="8" name="Valor da Hora _x000a_com A+B" dataDxfId="1" dataCellStyle="Vírgula">
      <calculatedColumnFormula>C8</calculatedColumnFormula>
    </tableColumn>
    <tableColumn id="9" name="Valor da hora bruta /Mês" dataDxfId="0" dataCellStyle="Vírgula">
      <calculatedColumnFormula>D8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752" t="s">
        <v>0</v>
      </c>
      <c r="B1" s="752"/>
      <c r="C1" s="752"/>
      <c r="D1" s="752"/>
      <c r="E1" s="752"/>
      <c r="F1" s="752"/>
      <c r="G1" s="752"/>
    </row>
    <row r="2" spans="1:12" s="4" customFormat="1" ht="21.75" customHeight="1" x14ac:dyDescent="0.25">
      <c r="A2" s="753" t="s">
        <v>1</v>
      </c>
      <c r="B2" s="753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754" t="s">
        <v>7</v>
      </c>
      <c r="B3" s="754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754"/>
      <c r="B4" s="754"/>
      <c r="C4" s="6"/>
      <c r="D4" s="6"/>
      <c r="E4" s="6"/>
      <c r="F4" s="6"/>
      <c r="G4" s="6"/>
    </row>
    <row r="5" spans="1:12" ht="12" customHeight="1" x14ac:dyDescent="0.25">
      <c r="A5" s="754" t="s">
        <v>8</v>
      </c>
      <c r="B5" s="754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750" t="s">
        <v>22</v>
      </c>
      <c r="B20" s="750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750" t="s">
        <v>23</v>
      </c>
      <c r="B21" s="750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751" t="s">
        <v>24</v>
      </c>
      <c r="B22" s="751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751" t="s">
        <v>26</v>
      </c>
      <c r="B23" s="751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752" t="s">
        <v>158</v>
      </c>
      <c r="B1" s="752"/>
      <c r="C1" s="752"/>
      <c r="D1" s="752"/>
      <c r="E1" s="752"/>
      <c r="F1" s="752"/>
      <c r="G1" s="752"/>
      <c r="H1" s="752"/>
    </row>
    <row r="2" spans="1:13" s="33" customFormat="1" ht="18" customHeight="1" x14ac:dyDescent="0.25">
      <c r="A2" s="762" t="s">
        <v>28</v>
      </c>
      <c r="B2" s="762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761" t="s">
        <v>34</v>
      </c>
      <c r="B4" s="761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761" t="s">
        <v>35</v>
      </c>
      <c r="B5" s="761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761" t="s">
        <v>159</v>
      </c>
      <c r="B6" s="761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760" t="s">
        <v>37</v>
      </c>
      <c r="B7" s="760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761"/>
      <c r="B11" s="761"/>
      <c r="C11" s="35">
        <v>0</v>
      </c>
      <c r="D11" s="37"/>
      <c r="E11" s="37">
        <v>135</v>
      </c>
      <c r="F11" s="37">
        <f>C11*E11</f>
        <v>0</v>
      </c>
      <c r="G11" s="36"/>
      <c r="H11" s="179">
        <f>F11*G11</f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761"/>
      <c r="B12" s="761"/>
      <c r="C12" s="35">
        <v>0</v>
      </c>
      <c r="D12" s="37"/>
      <c r="E12" s="37">
        <v>0</v>
      </c>
      <c r="F12" s="37">
        <f>C12*E12</f>
        <v>0</v>
      </c>
      <c r="G12" s="36"/>
      <c r="H12" s="179">
        <f>F12*G12</f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757" t="s">
        <v>8</v>
      </c>
      <c r="B14" s="757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760" t="s">
        <v>52</v>
      </c>
      <c r="B20" s="760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756"/>
      <c r="B22" s="75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757" t="s">
        <v>8</v>
      </c>
      <c r="B23" s="757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758" t="s">
        <v>58</v>
      </c>
      <c r="B39" s="758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759" t="s">
        <v>59</v>
      </c>
      <c r="B40" s="759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759" t="s">
        <v>60</v>
      </c>
      <c r="B41" s="759"/>
      <c r="C41" s="48"/>
      <c r="D41" s="175"/>
      <c r="E41" s="68">
        <f>E40/(1-B36)</f>
        <v>6848.7548987411055</v>
      </c>
      <c r="F41" s="56"/>
      <c r="G41" s="56"/>
      <c r="H41" s="56"/>
      <c r="I41" s="1">
        <f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755" t="s">
        <v>24</v>
      </c>
      <c r="B42" s="75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>I38-F11</f>
        <v>5500</v>
      </c>
      <c r="J42" s="71"/>
      <c r="K42" s="70"/>
      <c r="L42" s="70"/>
      <c r="M42" s="70"/>
    </row>
    <row r="43" spans="1:13" ht="9.9499999999999993" customHeight="1" x14ac:dyDescent="0.25">
      <c r="A43" s="755" t="s">
        <v>26</v>
      </c>
      <c r="B43" s="75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>I39-F12</f>
        <v>1000</v>
      </c>
      <c r="J43" s="27" t="e">
        <f>B34/E34</f>
        <v>#DIV/0!</v>
      </c>
    </row>
    <row r="44" spans="1:13" ht="9.9499999999999993" customHeight="1" x14ac:dyDescent="0.25">
      <c r="A44" s="755" t="s">
        <v>27</v>
      </c>
      <c r="B44" s="75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>I40-F13</f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63" t="s">
        <v>0</v>
      </c>
      <c r="B1" s="763"/>
      <c r="C1" s="763"/>
      <c r="D1" s="763"/>
      <c r="E1" s="763"/>
      <c r="F1" s="763"/>
    </row>
    <row r="2" spans="1:11" s="33" customFormat="1" ht="32.25" customHeight="1" x14ac:dyDescent="0.25">
      <c r="A2" s="762" t="s">
        <v>28</v>
      </c>
      <c r="B2" s="762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761" t="s">
        <v>34</v>
      </c>
      <c r="B4" s="761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761" t="s">
        <v>35</v>
      </c>
      <c r="B5" s="761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761" t="s">
        <v>36</v>
      </c>
      <c r="B6" s="761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760" t="s">
        <v>37</v>
      </c>
      <c r="B7" s="760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761" t="s">
        <v>39</v>
      </c>
      <c r="B9" s="761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761" t="s">
        <v>40</v>
      </c>
      <c r="B10" s="761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761" t="s">
        <v>41</v>
      </c>
      <c r="B11" s="761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761" t="s">
        <v>42</v>
      </c>
      <c r="B12" s="761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760" t="s">
        <v>43</v>
      </c>
      <c r="B14" s="760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761" t="s">
        <v>39</v>
      </c>
      <c r="B16" s="761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761" t="s">
        <v>40</v>
      </c>
      <c r="B17" s="761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761" t="s">
        <v>41</v>
      </c>
      <c r="B18" s="761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761" t="s">
        <v>45</v>
      </c>
      <c r="B19" s="761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761" t="s">
        <v>46</v>
      </c>
      <c r="B20" s="761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761" t="s">
        <v>47</v>
      </c>
      <c r="B21" s="761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760" t="s">
        <v>48</v>
      </c>
      <c r="B22" s="760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760" t="s">
        <v>52</v>
      </c>
      <c r="B28" s="760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757" t="s">
        <v>148</v>
      </c>
      <c r="B30" s="757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756"/>
      <c r="B31" s="756"/>
      <c r="C31" s="49"/>
      <c r="D31" s="50"/>
      <c r="E31" s="51"/>
      <c r="F31" s="36"/>
      <c r="G31" s="36"/>
    </row>
    <row r="32" spans="1:11" ht="11.1" customHeight="1" x14ac:dyDescent="0.25">
      <c r="A32" s="757"/>
      <c r="B32" s="757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758" t="s">
        <v>58</v>
      </c>
      <c r="B48" s="758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59" t="s">
        <v>59</v>
      </c>
      <c r="B49" s="759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59" t="s">
        <v>60</v>
      </c>
      <c r="B50" s="759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55" t="s">
        <v>24</v>
      </c>
      <c r="B51" s="75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755" t="s">
        <v>26</v>
      </c>
      <c r="B52" s="75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755" t="s">
        <v>27</v>
      </c>
      <c r="B53" s="75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752" t="s">
        <v>149</v>
      </c>
      <c r="B1" s="752"/>
      <c r="C1" s="752"/>
      <c r="D1" s="752"/>
      <c r="E1" s="752"/>
      <c r="F1" s="752"/>
    </row>
    <row r="2" spans="1:11" s="33" customFormat="1" ht="32.25" customHeight="1" x14ac:dyDescent="0.25">
      <c r="A2" s="762" t="s">
        <v>28</v>
      </c>
      <c r="B2" s="762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761" t="s">
        <v>34</v>
      </c>
      <c r="B4" s="761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761" t="s">
        <v>35</v>
      </c>
      <c r="B5" s="761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761" t="s">
        <v>36</v>
      </c>
      <c r="B6" s="761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760" t="s">
        <v>37</v>
      </c>
      <c r="B7" s="760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761" t="s">
        <v>39</v>
      </c>
      <c r="B9" s="761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761" t="s">
        <v>40</v>
      </c>
      <c r="B10" s="761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761" t="s">
        <v>41</v>
      </c>
      <c r="B11" s="761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761" t="s">
        <v>42</v>
      </c>
      <c r="B12" s="761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760" t="s">
        <v>43</v>
      </c>
      <c r="B14" s="760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761" t="s">
        <v>39</v>
      </c>
      <c r="B16" s="761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761" t="s">
        <v>40</v>
      </c>
      <c r="B17" s="761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761" t="s">
        <v>41</v>
      </c>
      <c r="B18" s="761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761" t="s">
        <v>45</v>
      </c>
      <c r="B19" s="761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761" t="s">
        <v>46</v>
      </c>
      <c r="B20" s="761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761" t="s">
        <v>47</v>
      </c>
      <c r="B21" s="761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760" t="s">
        <v>48</v>
      </c>
      <c r="B22" s="760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760" t="s">
        <v>52</v>
      </c>
      <c r="B28" s="760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64" t="s">
        <v>53</v>
      </c>
      <c r="B30" s="765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756"/>
      <c r="B31" s="756"/>
      <c r="C31" s="49"/>
      <c r="D31" s="50"/>
      <c r="E31" s="51"/>
      <c r="F31" s="36"/>
      <c r="G31" s="77"/>
    </row>
    <row r="32" spans="1:11" ht="14.1" customHeight="1" x14ac:dyDescent="0.25">
      <c r="A32" s="757" t="s">
        <v>8</v>
      </c>
      <c r="B32" s="757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758" t="s">
        <v>58</v>
      </c>
      <c r="B48" s="758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59" t="s">
        <v>59</v>
      </c>
      <c r="B49" s="759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59" t="s">
        <v>60</v>
      </c>
      <c r="B50" s="759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55" t="s">
        <v>24</v>
      </c>
      <c r="B51" s="75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755" t="s">
        <v>26</v>
      </c>
      <c r="B52" s="75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755" t="s">
        <v>27</v>
      </c>
      <c r="B53" s="75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752" t="s">
        <v>150</v>
      </c>
      <c r="B1" s="752"/>
      <c r="C1" s="752"/>
      <c r="D1" s="752"/>
      <c r="E1" s="752"/>
      <c r="F1" s="752"/>
    </row>
    <row r="2" spans="1:11" s="33" customFormat="1" ht="25.5" customHeight="1" x14ac:dyDescent="0.25">
      <c r="A2" s="762" t="s">
        <v>28</v>
      </c>
      <c r="B2" s="762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61" t="s">
        <v>39</v>
      </c>
      <c r="B4" s="761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761" t="s">
        <v>40</v>
      </c>
      <c r="B5" s="761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761" t="s">
        <v>41</v>
      </c>
      <c r="B6" s="761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761" t="s">
        <v>42</v>
      </c>
      <c r="B7" s="761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760" t="s">
        <v>43</v>
      </c>
      <c r="B8" s="760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61" t="s">
        <v>39</v>
      </c>
      <c r="B10" s="761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761" t="s">
        <v>40</v>
      </c>
      <c r="B11" s="761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761" t="s">
        <v>41</v>
      </c>
      <c r="B12" s="761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760" t="s">
        <v>48</v>
      </c>
      <c r="B13" s="760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60" t="s">
        <v>52</v>
      </c>
      <c r="B19" s="760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57" t="s">
        <v>148</v>
      </c>
      <c r="B21" s="757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756"/>
      <c r="B22" s="756"/>
      <c r="C22" s="49"/>
      <c r="D22" s="50"/>
      <c r="E22" s="51"/>
      <c r="F22" s="36"/>
      <c r="G22" s="77"/>
    </row>
    <row r="23" spans="1:11" ht="14.1" customHeight="1" x14ac:dyDescent="0.25">
      <c r="A23" s="757" t="s">
        <v>8</v>
      </c>
      <c r="B23" s="757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758" t="s">
        <v>58</v>
      </c>
      <c r="B39" s="758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759" t="s">
        <v>59</v>
      </c>
      <c r="B40" s="759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759" t="s">
        <v>60</v>
      </c>
      <c r="B41" s="759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755" t="s">
        <v>24</v>
      </c>
      <c r="B42" s="75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755" t="s">
        <v>26</v>
      </c>
      <c r="B43" s="75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755" t="s">
        <v>27</v>
      </c>
      <c r="B44" s="75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752" t="s">
        <v>152</v>
      </c>
      <c r="B1" s="752"/>
      <c r="C1" s="752"/>
      <c r="D1" s="752"/>
      <c r="E1" s="752"/>
      <c r="F1" s="752"/>
    </row>
    <row r="2" spans="1:11" s="33" customFormat="1" ht="27.75" customHeight="1" x14ac:dyDescent="0.25">
      <c r="A2" s="762" t="s">
        <v>28</v>
      </c>
      <c r="B2" s="762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61" t="s">
        <v>39</v>
      </c>
      <c r="B4" s="761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761" t="s">
        <v>40</v>
      </c>
      <c r="B5" s="761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761" t="s">
        <v>41</v>
      </c>
      <c r="B6" s="761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761" t="s">
        <v>42</v>
      </c>
      <c r="B7" s="761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760" t="s">
        <v>43</v>
      </c>
      <c r="B8" s="760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61" t="s">
        <v>39</v>
      </c>
      <c r="B10" s="761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761" t="s">
        <v>40</v>
      </c>
      <c r="B11" s="761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761" t="s">
        <v>41</v>
      </c>
      <c r="B12" s="761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760" t="s">
        <v>48</v>
      </c>
      <c r="B13" s="760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60" t="s">
        <v>52</v>
      </c>
      <c r="B19" s="760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66" t="s">
        <v>148</v>
      </c>
      <c r="B21" s="767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756"/>
      <c r="B22" s="756"/>
      <c r="C22" s="49"/>
      <c r="D22" s="50"/>
      <c r="E22" s="51"/>
      <c r="F22" s="36"/>
      <c r="G22" s="77"/>
    </row>
    <row r="23" spans="1:11" ht="14.1" hidden="1" customHeight="1" x14ac:dyDescent="0.25">
      <c r="A23" s="757" t="s">
        <v>8</v>
      </c>
      <c r="B23" s="757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758" t="s">
        <v>58</v>
      </c>
      <c r="B39" s="758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59" t="s">
        <v>59</v>
      </c>
      <c r="B40" s="759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59" t="s">
        <v>60</v>
      </c>
      <c r="B41" s="759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755" t="s">
        <v>24</v>
      </c>
      <c r="B42" s="75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755" t="s">
        <v>26</v>
      </c>
      <c r="B43" s="75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755" t="s">
        <v>27</v>
      </c>
      <c r="B44" s="75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752" t="s">
        <v>61</v>
      </c>
      <c r="B1" s="752"/>
      <c r="C1" s="752"/>
      <c r="D1" s="752"/>
      <c r="E1" s="752"/>
      <c r="F1" s="752"/>
    </row>
    <row r="2" spans="1:11" s="33" customFormat="1" ht="26.25" customHeight="1" x14ac:dyDescent="0.25">
      <c r="A2" s="762" t="s">
        <v>28</v>
      </c>
      <c r="B2" s="762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61" t="s">
        <v>39</v>
      </c>
      <c r="B4" s="761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761" t="s">
        <v>40</v>
      </c>
      <c r="B5" s="761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761" t="s">
        <v>41</v>
      </c>
      <c r="B6" s="761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761" t="s">
        <v>42</v>
      </c>
      <c r="B7" s="761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760" t="s">
        <v>43</v>
      </c>
      <c r="B8" s="760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61" t="s">
        <v>39</v>
      </c>
      <c r="B10" s="761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761" t="s">
        <v>40</v>
      </c>
      <c r="B11" s="761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761" t="s">
        <v>41</v>
      </c>
      <c r="B12" s="761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760" t="s">
        <v>48</v>
      </c>
      <c r="B13" s="760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60" t="s">
        <v>52</v>
      </c>
      <c r="B19" s="760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757" t="s">
        <v>148</v>
      </c>
      <c r="B21" s="757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756"/>
      <c r="B22" s="756"/>
      <c r="C22" s="49"/>
      <c r="D22" s="50"/>
      <c r="E22" s="51"/>
      <c r="F22" s="36"/>
      <c r="G22" s="77"/>
    </row>
    <row r="23" spans="1:11" ht="14.1" customHeight="1" x14ac:dyDescent="0.25">
      <c r="A23" s="757" t="s">
        <v>8</v>
      </c>
      <c r="B23" s="757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758" t="s">
        <v>58</v>
      </c>
      <c r="B39" s="758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59" t="s">
        <v>59</v>
      </c>
      <c r="B40" s="759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59" t="s">
        <v>60</v>
      </c>
      <c r="B41" s="759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755" t="s">
        <v>24</v>
      </c>
      <c r="B42" s="75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755" t="s">
        <v>26</v>
      </c>
      <c r="B43" s="75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755" t="s">
        <v>27</v>
      </c>
      <c r="B44" s="75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68" t="s">
        <v>62</v>
      </c>
      <c r="B1" s="768"/>
      <c r="C1" s="768"/>
      <c r="D1" s="768"/>
      <c r="E1" s="768"/>
      <c r="F1" s="768"/>
      <c r="G1" s="768"/>
    </row>
    <row r="2" spans="1:11" s="33" customFormat="1" ht="32.25" customHeight="1" x14ac:dyDescent="0.25">
      <c r="A2" s="762" t="s">
        <v>28</v>
      </c>
      <c r="B2" s="762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61" t="s">
        <v>34</v>
      </c>
      <c r="B4" s="76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61" t="s">
        <v>35</v>
      </c>
      <c r="B5" s="76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61" t="s">
        <v>36</v>
      </c>
      <c r="B6" s="76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60" t="s">
        <v>37</v>
      </c>
      <c r="B7" s="76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761" t="s">
        <v>68</v>
      </c>
      <c r="B9" s="761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761" t="s">
        <v>69</v>
      </c>
      <c r="B10" s="761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761" t="s">
        <v>70</v>
      </c>
      <c r="B11" s="761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761" t="s">
        <v>71</v>
      </c>
      <c r="B12" s="761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760" t="s">
        <v>72</v>
      </c>
      <c r="B14" s="760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761" t="s">
        <v>39</v>
      </c>
      <c r="B16" s="761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761" t="s">
        <v>40</v>
      </c>
      <c r="B17" s="761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761" t="s">
        <v>41</v>
      </c>
      <c r="B18" s="761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761" t="s">
        <v>45</v>
      </c>
      <c r="B19" s="761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761" t="s">
        <v>46</v>
      </c>
      <c r="B20" s="761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761" t="s">
        <v>47</v>
      </c>
      <c r="B21" s="761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760" t="s">
        <v>74</v>
      </c>
      <c r="B22" s="760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760" t="s">
        <v>52</v>
      </c>
      <c r="B28" s="76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757" t="s">
        <v>7</v>
      </c>
      <c r="B30" s="757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756"/>
      <c r="B31" s="756"/>
      <c r="C31" s="49"/>
      <c r="D31" s="50"/>
      <c r="E31" s="51"/>
      <c r="F31" s="51"/>
      <c r="G31" s="36"/>
    </row>
    <row r="32" spans="1:11" ht="14.1" customHeight="1" x14ac:dyDescent="0.25">
      <c r="A32" s="757" t="s">
        <v>8</v>
      </c>
      <c r="B32" s="757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758" t="s">
        <v>58</v>
      </c>
      <c r="B48" s="758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759" t="s">
        <v>59</v>
      </c>
      <c r="B49" s="759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759" t="s">
        <v>60</v>
      </c>
      <c r="B50" s="759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755" t="s">
        <v>24</v>
      </c>
      <c r="B51" s="75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755" t="s">
        <v>26</v>
      </c>
      <c r="B52" s="75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755" t="s">
        <v>27</v>
      </c>
      <c r="B53" s="75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68" t="s">
        <v>76</v>
      </c>
      <c r="B1" s="768"/>
      <c r="C1" s="768"/>
      <c r="D1" s="768"/>
      <c r="E1" s="768"/>
      <c r="F1" s="768"/>
      <c r="G1" s="768"/>
    </row>
    <row r="2" spans="1:11" s="33" customFormat="1" ht="30" customHeight="1" x14ac:dyDescent="0.25">
      <c r="A2" s="762" t="s">
        <v>28</v>
      </c>
      <c r="B2" s="762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61" t="s">
        <v>34</v>
      </c>
      <c r="B4" s="76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61" t="s">
        <v>35</v>
      </c>
      <c r="B5" s="76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61" t="s">
        <v>36</v>
      </c>
      <c r="B6" s="76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60" t="s">
        <v>37</v>
      </c>
      <c r="B7" s="76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761" t="s">
        <v>68</v>
      </c>
      <c r="B9" s="761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761" t="s">
        <v>69</v>
      </c>
      <c r="B10" s="761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761" t="s">
        <v>70</v>
      </c>
      <c r="B11" s="761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761" t="s">
        <v>71</v>
      </c>
      <c r="B12" s="761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760" t="s">
        <v>72</v>
      </c>
      <c r="B14" s="760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761" t="s">
        <v>39</v>
      </c>
      <c r="B16" s="761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761" t="s">
        <v>40</v>
      </c>
      <c r="B17" s="761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761" t="s">
        <v>41</v>
      </c>
      <c r="B18" s="761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761" t="s">
        <v>45</v>
      </c>
      <c r="B19" s="761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761" t="s">
        <v>46</v>
      </c>
      <c r="B20" s="761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761" t="s">
        <v>47</v>
      </c>
      <c r="B21" s="761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760" t="s">
        <v>74</v>
      </c>
      <c r="B22" s="760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760" t="s">
        <v>52</v>
      </c>
      <c r="B28" s="76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757" t="s">
        <v>7</v>
      </c>
      <c r="B30" s="757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756"/>
      <c r="B31" s="756"/>
      <c r="C31" s="49"/>
      <c r="D31" s="50"/>
      <c r="E31" s="51"/>
      <c r="F31" s="51"/>
      <c r="G31" s="36"/>
    </row>
    <row r="32" spans="1:11" ht="11.1" customHeight="1" x14ac:dyDescent="0.25">
      <c r="A32" s="757" t="s">
        <v>8</v>
      </c>
      <c r="B32" s="757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758" t="s">
        <v>58</v>
      </c>
      <c r="B48" s="758"/>
      <c r="C48" s="54"/>
      <c r="D48" s="67">
        <v>600000</v>
      </c>
      <c r="E48" s="56"/>
      <c r="F48" s="56"/>
    </row>
    <row r="49" spans="1:11" ht="14.1" hidden="1" customHeight="1" x14ac:dyDescent="0.25">
      <c r="A49" s="759" t="s">
        <v>59</v>
      </c>
      <c r="B49" s="759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759" t="s">
        <v>60</v>
      </c>
      <c r="B50" s="759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755" t="s">
        <v>24</v>
      </c>
      <c r="B51" s="75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755" t="s">
        <v>26</v>
      </c>
      <c r="B52" s="75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755" t="s">
        <v>27</v>
      </c>
      <c r="B53" s="75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68" t="s">
        <v>78</v>
      </c>
      <c r="B1" s="768"/>
      <c r="C1" s="768"/>
      <c r="D1" s="768"/>
      <c r="E1" s="768"/>
      <c r="F1" s="768"/>
      <c r="G1" s="768"/>
    </row>
    <row r="2" spans="1:11" s="33" customFormat="1" ht="32.25" customHeight="1" x14ac:dyDescent="0.25">
      <c r="A2" s="762" t="s">
        <v>28</v>
      </c>
      <c r="B2" s="762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61" t="s">
        <v>34</v>
      </c>
      <c r="B4" s="76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61" t="s">
        <v>35</v>
      </c>
      <c r="B5" s="76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61" t="s">
        <v>36</v>
      </c>
      <c r="B6" s="76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60" t="s">
        <v>37</v>
      </c>
      <c r="B7" s="76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761" t="s">
        <v>79</v>
      </c>
      <c r="B9" s="761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761" t="s">
        <v>80</v>
      </c>
      <c r="B10" s="761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761" t="s">
        <v>81</v>
      </c>
      <c r="B11" s="761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761" t="s">
        <v>82</v>
      </c>
      <c r="B12" s="761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761" t="s">
        <v>82</v>
      </c>
      <c r="B13" s="761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761" t="s">
        <v>83</v>
      </c>
      <c r="B14" s="761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761" t="s">
        <v>84</v>
      </c>
      <c r="B15" s="761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761" t="s">
        <v>85</v>
      </c>
      <c r="B16" s="761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760" t="s">
        <v>72</v>
      </c>
      <c r="B17" s="760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761" t="s">
        <v>39</v>
      </c>
      <c r="B19" s="761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761" t="s">
        <v>40</v>
      </c>
      <c r="B20" s="761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761" t="s">
        <v>41</v>
      </c>
      <c r="B21" s="761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761" t="s">
        <v>45</v>
      </c>
      <c r="B22" s="761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761" t="s">
        <v>46</v>
      </c>
      <c r="B23" s="761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761" t="s">
        <v>47</v>
      </c>
      <c r="B24" s="761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760" t="s">
        <v>74</v>
      </c>
      <c r="B25" s="760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760" t="s">
        <v>52</v>
      </c>
      <c r="B31" s="760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757" t="s">
        <v>7</v>
      </c>
      <c r="B33" s="757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756"/>
      <c r="B34" s="756"/>
      <c r="C34" s="49"/>
      <c r="D34" s="50"/>
      <c r="E34" s="51"/>
      <c r="F34" s="51"/>
      <c r="G34" s="36"/>
    </row>
    <row r="35" spans="1:11" ht="14.1" customHeight="1" x14ac:dyDescent="0.25">
      <c r="A35" s="757" t="s">
        <v>8</v>
      </c>
      <c r="B35" s="757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758" t="s">
        <v>58</v>
      </c>
      <c r="B51" s="758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759" t="s">
        <v>59</v>
      </c>
      <c r="B52" s="759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759" t="s">
        <v>60</v>
      </c>
      <c r="B53" s="759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755" t="s">
        <v>24</v>
      </c>
      <c r="B54" s="75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755" t="s">
        <v>26</v>
      </c>
      <c r="B55" s="75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755" t="s">
        <v>27</v>
      </c>
      <c r="B56" s="75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752" t="s">
        <v>62</v>
      </c>
      <c r="B1" s="752"/>
      <c r="C1" s="752"/>
      <c r="D1" s="752"/>
      <c r="E1" s="752"/>
    </row>
    <row r="2" spans="1:10" s="33" customFormat="1" ht="32.25" customHeight="1" x14ac:dyDescent="0.25">
      <c r="A2" s="762" t="s">
        <v>28</v>
      </c>
      <c r="B2" s="762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761" t="s">
        <v>34</v>
      </c>
      <c r="B4" s="761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761" t="s">
        <v>35</v>
      </c>
      <c r="B5" s="761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761" t="s">
        <v>36</v>
      </c>
      <c r="B6" s="761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760" t="s">
        <v>37</v>
      </c>
      <c r="B7" s="760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761" t="s">
        <v>88</v>
      </c>
      <c r="B9" s="761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761" t="s">
        <v>89</v>
      </c>
      <c r="B10" s="761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761" t="s">
        <v>90</v>
      </c>
      <c r="B11" s="761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761" t="s">
        <v>91</v>
      </c>
      <c r="B12" s="761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760" t="s">
        <v>72</v>
      </c>
      <c r="B13" s="760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761" t="s">
        <v>92</v>
      </c>
      <c r="B15" s="761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761" t="s">
        <v>93</v>
      </c>
      <c r="B16" s="761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761" t="s">
        <v>94</v>
      </c>
      <c r="B17" s="761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761" t="s">
        <v>45</v>
      </c>
      <c r="B18" s="761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761" t="s">
        <v>46</v>
      </c>
      <c r="B19" s="761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761" t="s">
        <v>47</v>
      </c>
      <c r="B20" s="761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760" t="s">
        <v>74</v>
      </c>
      <c r="B21" s="760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760" t="s">
        <v>52</v>
      </c>
      <c r="B27" s="760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757" t="s">
        <v>7</v>
      </c>
      <c r="B29" s="757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756"/>
      <c r="B30" s="756"/>
      <c r="C30" s="50"/>
      <c r="D30" s="51"/>
      <c r="E30" s="51"/>
    </row>
    <row r="31" spans="1:10" ht="14.1" customHeight="1" x14ac:dyDescent="0.25">
      <c r="A31" s="757" t="s">
        <v>8</v>
      </c>
      <c r="B31" s="757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758" t="s">
        <v>58</v>
      </c>
      <c r="B47" s="758"/>
      <c r="C47" s="67">
        <f>E31+C38</f>
        <v>0</v>
      </c>
      <c r="D47" s="56"/>
      <c r="E47" s="56"/>
    </row>
    <row r="48" spans="1:6" ht="14.1" customHeight="1" x14ac:dyDescent="0.25">
      <c r="A48" s="759" t="s">
        <v>22</v>
      </c>
      <c r="B48" s="759"/>
      <c r="C48" s="51">
        <f>E31+D38</f>
        <v>0</v>
      </c>
      <c r="D48" s="56"/>
      <c r="E48" s="56"/>
    </row>
    <row r="49" spans="1:10" ht="14.1" customHeight="1" x14ac:dyDescent="0.25">
      <c r="A49" s="759" t="s">
        <v>60</v>
      </c>
      <c r="B49" s="759"/>
      <c r="C49" s="51">
        <f>C48/(1-B44)</f>
        <v>0</v>
      </c>
      <c r="D49" s="56"/>
      <c r="E49" s="56"/>
    </row>
    <row r="50" spans="1:10" s="72" customFormat="1" ht="14.1" customHeight="1" x14ac:dyDescent="0.25">
      <c r="A50" s="755" t="s">
        <v>24</v>
      </c>
      <c r="B50" s="75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755" t="s">
        <v>26</v>
      </c>
      <c r="B51" s="75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755" t="s">
        <v>27</v>
      </c>
      <c r="B52" s="75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752" t="s">
        <v>62</v>
      </c>
      <c r="B1" s="752"/>
      <c r="C1" s="752"/>
      <c r="D1" s="752"/>
      <c r="E1" s="752"/>
      <c r="F1" s="752"/>
    </row>
    <row r="2" spans="1:11" s="33" customFormat="1" ht="20.25" customHeight="1" x14ac:dyDescent="0.25">
      <c r="A2" s="762" t="s">
        <v>1</v>
      </c>
      <c r="B2" s="762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757" t="s">
        <v>7</v>
      </c>
      <c r="B3" s="757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756"/>
      <c r="B4" s="756"/>
      <c r="C4" s="51"/>
      <c r="D4" s="51"/>
      <c r="E4" s="51"/>
      <c r="F4" s="51"/>
    </row>
    <row r="5" spans="1:11" ht="9" customHeight="1" x14ac:dyDescent="0.25">
      <c r="A5" s="757" t="s">
        <v>8</v>
      </c>
      <c r="B5" s="757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759" t="s">
        <v>22</v>
      </c>
      <c r="B22" s="759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759" t="s">
        <v>60</v>
      </c>
      <c r="B23" s="759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755" t="s">
        <v>24</v>
      </c>
      <c r="B24" s="75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755" t="s">
        <v>26</v>
      </c>
      <c r="B25" s="75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755" t="s">
        <v>27</v>
      </c>
      <c r="B26" s="75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752" t="s">
        <v>97</v>
      </c>
      <c r="B1" s="752"/>
      <c r="C1" s="752"/>
      <c r="D1" s="752"/>
      <c r="E1" s="752"/>
      <c r="F1" s="752"/>
      <c r="G1" s="752"/>
    </row>
    <row r="2" spans="1:12" s="94" customFormat="1" ht="18.75" customHeight="1" x14ac:dyDescent="0.25">
      <c r="A2" s="753" t="s">
        <v>1</v>
      </c>
      <c r="B2" s="753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70" t="s">
        <v>100</v>
      </c>
      <c r="B3" s="770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70" t="s">
        <v>8</v>
      </c>
      <c r="B8" s="770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71" t="s">
        <v>22</v>
      </c>
      <c r="B25" s="771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69" t="s">
        <v>60</v>
      </c>
      <c r="B26" s="769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751" t="s">
        <v>24</v>
      </c>
      <c r="B27" s="751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751" t="s">
        <v>26</v>
      </c>
      <c r="B28" s="751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751" t="s">
        <v>27</v>
      </c>
      <c r="B29" s="751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72" t="s">
        <v>134</v>
      </c>
      <c r="B37" s="772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68" t="s">
        <v>62</v>
      </c>
      <c r="B1" s="768"/>
      <c r="C1" s="768"/>
      <c r="D1" s="768"/>
      <c r="E1" s="768"/>
      <c r="F1" s="768"/>
      <c r="G1" s="768"/>
    </row>
    <row r="2" spans="1:11" s="33" customFormat="1" ht="32.25" customHeight="1" x14ac:dyDescent="0.25">
      <c r="A2" s="762" t="s">
        <v>28</v>
      </c>
      <c r="B2" s="762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61" t="s">
        <v>34</v>
      </c>
      <c r="B4" s="76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61" t="s">
        <v>35</v>
      </c>
      <c r="B5" s="76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61" t="s">
        <v>36</v>
      </c>
      <c r="B6" s="76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60" t="s">
        <v>37</v>
      </c>
      <c r="B7" s="76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761" t="s">
        <v>135</v>
      </c>
      <c r="B9" s="761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761" t="s">
        <v>136</v>
      </c>
      <c r="B10" s="761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761" t="s">
        <v>137</v>
      </c>
      <c r="B11" s="761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761" t="s">
        <v>138</v>
      </c>
      <c r="B12" s="761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760" t="s">
        <v>72</v>
      </c>
      <c r="B14" s="760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761" t="s">
        <v>140</v>
      </c>
      <c r="B16" s="761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761" t="s">
        <v>141</v>
      </c>
      <c r="B17" s="761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761" t="s">
        <v>139</v>
      </c>
      <c r="B18" s="761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761" t="s">
        <v>45</v>
      </c>
      <c r="B19" s="761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761" t="s">
        <v>46</v>
      </c>
      <c r="B20" s="761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761" t="s">
        <v>47</v>
      </c>
      <c r="B21" s="761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760" t="s">
        <v>74</v>
      </c>
      <c r="B22" s="760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760" t="s">
        <v>52</v>
      </c>
      <c r="B28" s="76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757" t="s">
        <v>7</v>
      </c>
      <c r="B30" s="757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756"/>
      <c r="B31" s="756"/>
      <c r="C31" s="49"/>
      <c r="D31" s="50"/>
      <c r="E31" s="51"/>
      <c r="F31" s="51"/>
      <c r="G31" s="36"/>
    </row>
    <row r="32" spans="1:11" ht="14.1" customHeight="1" x14ac:dyDescent="0.25">
      <c r="A32" s="757" t="s">
        <v>8</v>
      </c>
      <c r="B32" s="757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758" t="s">
        <v>17</v>
      </c>
      <c r="B48" s="758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759" t="s">
        <v>59</v>
      </c>
      <c r="B49" s="759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759" t="s">
        <v>60</v>
      </c>
      <c r="B50" s="759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755" t="s">
        <v>24</v>
      </c>
      <c r="B51" s="75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755" t="s">
        <v>26</v>
      </c>
      <c r="B52" s="75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755" t="s">
        <v>27</v>
      </c>
      <c r="B53" s="75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zoomScaleNormal="100" workbookViewId="0">
      <selection activeCell="C10" sqref="C10"/>
    </sheetView>
  </sheetViews>
  <sheetFormatPr defaultColWidth="0" defaultRowHeight="11.25" zeroHeight="1" x14ac:dyDescent="0.2"/>
  <cols>
    <col min="1" max="1" width="49.7109375" style="616" bestFit="1" customWidth="1"/>
    <col min="2" max="2" width="30.7109375" style="616" customWidth="1"/>
    <col min="3" max="3" width="22.28515625" style="616" customWidth="1"/>
    <col min="4" max="4" width="24.140625" style="616" customWidth="1"/>
    <col min="5" max="5" width="16.85546875" style="616" bestFit="1" customWidth="1"/>
    <col min="6" max="6" width="24.7109375" style="616" customWidth="1"/>
    <col min="7" max="7" width="21.7109375" style="616" customWidth="1"/>
    <col min="8" max="8" width="15.85546875" style="616" customWidth="1"/>
    <col min="9" max="9" width="26.7109375" style="616" customWidth="1"/>
    <col min="10" max="16384" width="9.140625" style="616" hidden="1"/>
  </cols>
  <sheetData>
    <row r="1" spans="1:9" ht="12.75" x14ac:dyDescent="0.2">
      <c r="A1" s="785" t="s">
        <v>273</v>
      </c>
      <c r="B1" s="786"/>
      <c r="C1" s="786"/>
      <c r="D1" s="786"/>
      <c r="E1" s="787" t="s">
        <v>265</v>
      </c>
      <c r="F1" s="788"/>
      <c r="G1" s="788"/>
      <c r="H1" s="788"/>
      <c r="I1" s="789"/>
    </row>
    <row r="2" spans="1:9" ht="25.5" x14ac:dyDescent="0.2">
      <c r="A2" s="722" t="s">
        <v>28</v>
      </c>
      <c r="B2" s="723" t="s">
        <v>29</v>
      </c>
      <c r="C2" s="724" t="s">
        <v>257</v>
      </c>
      <c r="D2" s="725" t="s">
        <v>258</v>
      </c>
      <c r="E2" s="726" t="s">
        <v>270</v>
      </c>
      <c r="F2" s="724" t="s">
        <v>267</v>
      </c>
      <c r="G2" s="724" t="s">
        <v>266</v>
      </c>
      <c r="H2" s="723" t="s">
        <v>269</v>
      </c>
      <c r="I2" s="723" t="s">
        <v>268</v>
      </c>
    </row>
    <row r="3" spans="1:9" ht="12.75" x14ac:dyDescent="0.2">
      <c r="A3" s="739" t="s">
        <v>278</v>
      </c>
      <c r="B3" s="740">
        <v>129</v>
      </c>
      <c r="C3" s="728">
        <f>IFERROR(H3-G3-F3,0)</f>
        <v>0</v>
      </c>
      <c r="D3" s="729">
        <f t="shared" ref="D3:D5" si="0">IFERROR(B3*C3,0)</f>
        <v>0</v>
      </c>
      <c r="E3" s="730">
        <f>IFERROR(I3/$I$7,0)</f>
        <v>0</v>
      </c>
      <c r="F3" s="728">
        <f>IFERROR(($C$22*E3)/B3,0)</f>
        <v>0</v>
      </c>
      <c r="G3" s="728">
        <f>IFERROR(($C$28*E3)/B3,0)</f>
        <v>0</v>
      </c>
      <c r="H3" s="731">
        <f>C10</f>
        <v>0</v>
      </c>
      <c r="I3" s="732">
        <f>D10</f>
        <v>0</v>
      </c>
    </row>
    <row r="4" spans="1:9" ht="12.75" x14ac:dyDescent="0.2">
      <c r="A4" s="739" t="s">
        <v>279</v>
      </c>
      <c r="B4" s="740">
        <v>3654</v>
      </c>
      <c r="C4" s="728">
        <f t="shared" ref="C4:C5" si="1">IFERROR(H4-G4-F4,0)</f>
        <v>0</v>
      </c>
      <c r="D4" s="729">
        <f t="shared" si="0"/>
        <v>0</v>
      </c>
      <c r="E4" s="730">
        <f>IFERROR(I4/$I$7,0)</f>
        <v>0</v>
      </c>
      <c r="F4" s="728">
        <f>IFERROR(($C$22*E4)/B4,0)</f>
        <v>0</v>
      </c>
      <c r="G4" s="728">
        <f>IFERROR(($C$28*E4)/B4,0)</f>
        <v>0</v>
      </c>
      <c r="H4" s="731">
        <f>C11</f>
        <v>0</v>
      </c>
      <c r="I4" s="732">
        <f>D11</f>
        <v>0</v>
      </c>
    </row>
    <row r="5" spans="1:9" ht="12.75" x14ac:dyDescent="0.2">
      <c r="A5" s="739" t="s">
        <v>280</v>
      </c>
      <c r="B5" s="740">
        <v>7308</v>
      </c>
      <c r="C5" s="728">
        <f t="shared" si="1"/>
        <v>0</v>
      </c>
      <c r="D5" s="729">
        <f t="shared" si="0"/>
        <v>0</v>
      </c>
      <c r="E5" s="730">
        <f>IFERROR(I5/$I$7,0)</f>
        <v>0</v>
      </c>
      <c r="F5" s="728">
        <f>IFERROR(($C$22*E5)/B5,0)</f>
        <v>0</v>
      </c>
      <c r="G5" s="728">
        <f>IFERROR(($C$28*E5)/B5,0)</f>
        <v>0</v>
      </c>
      <c r="H5" s="731">
        <f>C12</f>
        <v>0</v>
      </c>
      <c r="I5" s="732">
        <f>D12</f>
        <v>0</v>
      </c>
    </row>
    <row r="6" spans="1:9" s="627" customFormat="1" ht="11.25" customHeight="1" thickBot="1" x14ac:dyDescent="0.25">
      <c r="A6" s="642"/>
      <c r="B6" s="661"/>
      <c r="C6" s="662"/>
      <c r="D6" s="662"/>
      <c r="E6" s="663"/>
      <c r="F6" s="662"/>
      <c r="G6" s="662"/>
      <c r="H6" s="664"/>
      <c r="I6" s="665"/>
    </row>
    <row r="7" spans="1:9" ht="13.5" thickBot="1" x14ac:dyDescent="0.25">
      <c r="A7" s="652" t="s">
        <v>8</v>
      </c>
      <c r="B7" s="666">
        <f>SUM(Tabela9[Horas /Mês])</f>
        <v>11091</v>
      </c>
      <c r="C7" s="717"/>
      <c r="D7" s="667">
        <f>SUM(D3:D5)</f>
        <v>0</v>
      </c>
      <c r="E7" s="668" t="e">
        <f>I7/$I$7</f>
        <v>#DIV/0!</v>
      </c>
      <c r="F7" s="717"/>
      <c r="G7" s="717"/>
      <c r="H7" s="717"/>
      <c r="I7" s="669">
        <f>SUM(Tabela9[Valor da hora bruta /Mês])</f>
        <v>0</v>
      </c>
    </row>
    <row r="8" spans="1:9" s="672" customFormat="1" ht="13.5" customHeight="1" x14ac:dyDescent="0.2">
      <c r="A8" s="643"/>
      <c r="B8" s="670"/>
      <c r="C8" s="644"/>
      <c r="D8" s="644"/>
      <c r="E8" s="645"/>
      <c r="F8" s="644"/>
      <c r="G8" s="644"/>
      <c r="H8" s="644"/>
      <c r="I8" s="671"/>
    </row>
    <row r="9" spans="1:9" ht="12.75" x14ac:dyDescent="0.2">
      <c r="A9" s="657" t="s">
        <v>28</v>
      </c>
      <c r="B9" s="658" t="s">
        <v>29</v>
      </c>
      <c r="C9" s="659" t="s">
        <v>263</v>
      </c>
      <c r="D9" s="658" t="s">
        <v>264</v>
      </c>
      <c r="E9" s="656"/>
      <c r="F9" s="656"/>
      <c r="G9" s="699"/>
      <c r="H9" s="700"/>
      <c r="I9" s="700"/>
    </row>
    <row r="10" spans="1:9" ht="15" customHeight="1" x14ac:dyDescent="0.2">
      <c r="A10" s="641" t="str">
        <f>A3</f>
        <v>MÉDICO INTENSIVISTA COORDENAÇÃO CTI</v>
      </c>
      <c r="B10" s="639">
        <f>B3</f>
        <v>129</v>
      </c>
      <c r="C10" s="746">
        <v>0</v>
      </c>
      <c r="D10" s="640">
        <f t="shared" ref="D10:D12" si="2">B10*C10</f>
        <v>0</v>
      </c>
      <c r="E10" s="701"/>
      <c r="F10" s="702"/>
      <c r="G10" s="703"/>
      <c r="H10" s="700"/>
      <c r="I10" s="700"/>
    </row>
    <row r="11" spans="1:9" ht="15" customHeight="1" x14ac:dyDescent="0.2">
      <c r="A11" s="727" t="str">
        <f>A4</f>
        <v>MÉDICO INTENSIVISTA ROTINA</v>
      </c>
      <c r="B11" s="660">
        <f>B4</f>
        <v>3654</v>
      </c>
      <c r="C11" s="747">
        <v>0</v>
      </c>
      <c r="D11" s="738">
        <f t="shared" si="2"/>
        <v>0</v>
      </c>
      <c r="E11" s="701"/>
      <c r="F11" s="702"/>
      <c r="G11" s="703"/>
      <c r="H11" s="700"/>
      <c r="I11" s="700"/>
    </row>
    <row r="12" spans="1:9" ht="15" customHeight="1" x14ac:dyDescent="0.2">
      <c r="A12" s="641" t="str">
        <f>A5</f>
        <v>MÉDICO INTENSIVISTA PLANTÃO</v>
      </c>
      <c r="B12" s="639">
        <f>B5</f>
        <v>7308</v>
      </c>
      <c r="C12" s="747">
        <v>0</v>
      </c>
      <c r="D12" s="721">
        <f t="shared" si="2"/>
        <v>0</v>
      </c>
      <c r="E12" s="701"/>
      <c r="F12" s="702"/>
      <c r="G12" s="703"/>
      <c r="H12" s="700"/>
      <c r="I12" s="700"/>
    </row>
    <row r="13" spans="1:9" s="690" customFormat="1" ht="5.25" customHeight="1" thickBot="1" x14ac:dyDescent="0.25">
      <c r="A13" s="681"/>
      <c r="B13" s="681"/>
      <c r="C13" s="682"/>
      <c r="D13" s="683"/>
      <c r="E13" s="684"/>
      <c r="F13" s="685"/>
      <c r="G13" s="686"/>
      <c r="H13" s="687"/>
      <c r="I13" s="688"/>
    </row>
    <row r="14" spans="1:9" ht="15" customHeight="1" x14ac:dyDescent="0.2">
      <c r="A14" s="673" t="s">
        <v>255</v>
      </c>
      <c r="B14" s="674">
        <f>SUM(Tabela8[Horas /Mês])</f>
        <v>11091</v>
      </c>
      <c r="C14" s="718"/>
      <c r="D14" s="675">
        <f>SUM(D10:D12)</f>
        <v>0</v>
      </c>
      <c r="E14" s="704"/>
      <c r="F14" s="705"/>
      <c r="G14" s="706"/>
      <c r="H14" s="707"/>
      <c r="I14" s="708"/>
    </row>
    <row r="15" spans="1:9" ht="15" customHeight="1" x14ac:dyDescent="0.2">
      <c r="A15" s="676" t="s">
        <v>256</v>
      </c>
      <c r="B15" s="651">
        <f>B14*6</f>
        <v>66546</v>
      </c>
      <c r="C15" s="719"/>
      <c r="D15" s="677">
        <f>D14*6</f>
        <v>0</v>
      </c>
      <c r="E15" s="704"/>
      <c r="F15" s="705"/>
      <c r="G15" s="706"/>
      <c r="H15" s="707"/>
      <c r="I15" s="708"/>
    </row>
    <row r="16" spans="1:9" ht="15" customHeight="1" thickBot="1" x14ac:dyDescent="0.25">
      <c r="A16" s="678" t="s">
        <v>272</v>
      </c>
      <c r="B16" s="679">
        <f>B14*12</f>
        <v>133092</v>
      </c>
      <c r="C16" s="720"/>
      <c r="D16" s="680">
        <f>D14*12</f>
        <v>0</v>
      </c>
      <c r="E16" s="704"/>
      <c r="F16" s="705"/>
      <c r="G16" s="706"/>
      <c r="H16" s="709"/>
      <c r="I16" s="709"/>
    </row>
    <row r="17" spans="1:9" s="690" customFormat="1" ht="5.25" customHeight="1" x14ac:dyDescent="0.2">
      <c r="A17" s="691"/>
      <c r="B17" s="692"/>
      <c r="C17" s="693"/>
      <c r="D17" s="694"/>
      <c r="E17" s="695"/>
      <c r="F17" s="696"/>
      <c r="G17" s="686"/>
      <c r="H17" s="689"/>
      <c r="I17" s="697"/>
    </row>
    <row r="18" spans="1:9" ht="12.75" x14ac:dyDescent="0.2">
      <c r="A18" s="654" t="s">
        <v>274</v>
      </c>
      <c r="B18" s="649" t="s">
        <v>271</v>
      </c>
      <c r="C18" s="646" t="s">
        <v>262</v>
      </c>
      <c r="D18" s="700"/>
      <c r="E18" s="700"/>
      <c r="F18" s="700"/>
      <c r="G18" s="700"/>
      <c r="H18" s="710"/>
      <c r="I18" s="710"/>
    </row>
    <row r="19" spans="1:9" ht="12.75" x14ac:dyDescent="0.2">
      <c r="A19" s="647" t="s">
        <v>259</v>
      </c>
      <c r="B19" s="618">
        <v>0</v>
      </c>
      <c r="C19" s="733">
        <f>Tabela5[[#This Row],[(%)]]*$I$7</f>
        <v>0</v>
      </c>
      <c r="D19" s="700"/>
      <c r="E19" s="700"/>
      <c r="F19" s="700"/>
      <c r="G19" s="700"/>
      <c r="H19" s="711"/>
      <c r="I19" s="710"/>
    </row>
    <row r="20" spans="1:9" ht="12.75" x14ac:dyDescent="0.2">
      <c r="A20" s="647" t="s">
        <v>15</v>
      </c>
      <c r="B20" s="618">
        <v>0</v>
      </c>
      <c r="C20" s="734">
        <f>Tabela5[[#This Row],[(%)]]*$I$7</f>
        <v>0</v>
      </c>
      <c r="D20" s="700"/>
      <c r="E20" s="700"/>
      <c r="F20" s="700"/>
      <c r="G20" s="700"/>
      <c r="H20" s="711"/>
      <c r="I20" s="710"/>
    </row>
    <row r="21" spans="1:9" ht="13.5" thickBot="1" x14ac:dyDescent="0.25">
      <c r="A21" s="648" t="s">
        <v>55</v>
      </c>
      <c r="B21" s="618">
        <v>0</v>
      </c>
      <c r="C21" s="733">
        <f>Tabela5[[#This Row],[(%)]]*$I$7</f>
        <v>0</v>
      </c>
      <c r="D21" s="700"/>
      <c r="E21" s="700"/>
      <c r="F21" s="700"/>
      <c r="G21" s="700"/>
      <c r="H21" s="711"/>
      <c r="I21" s="710"/>
    </row>
    <row r="22" spans="1:9" s="619" customFormat="1" ht="12.75" x14ac:dyDescent="0.25">
      <c r="A22" s="741" t="s">
        <v>260</v>
      </c>
      <c r="B22" s="742">
        <f>SUM(B19:B21)</f>
        <v>0</v>
      </c>
      <c r="C22" s="743">
        <f>SUM(C19:C21)</f>
        <v>0</v>
      </c>
      <c r="D22" s="712"/>
      <c r="E22" s="712"/>
      <c r="F22" s="712"/>
      <c r="G22" s="712"/>
      <c r="H22" s="713"/>
      <c r="I22" s="714"/>
    </row>
    <row r="23" spans="1:9" s="690" customFormat="1" ht="5.25" customHeight="1" x14ac:dyDescent="0.2">
      <c r="A23" s="691"/>
      <c r="B23" s="692"/>
      <c r="C23" s="698"/>
      <c r="D23" s="694"/>
      <c r="E23" s="698"/>
      <c r="F23" s="689"/>
      <c r="G23" s="689"/>
      <c r="H23" s="689"/>
      <c r="I23" s="689"/>
    </row>
    <row r="24" spans="1:9" ht="12.75" x14ac:dyDescent="0.2">
      <c r="A24" s="649" t="s">
        <v>275</v>
      </c>
      <c r="B24" s="650" t="s">
        <v>261</v>
      </c>
      <c r="C24" s="653" t="s">
        <v>254</v>
      </c>
      <c r="D24" s="715"/>
      <c r="E24" s="716"/>
      <c r="F24" s="710"/>
      <c r="G24" s="710"/>
      <c r="H24" s="710"/>
      <c r="I24" s="710"/>
    </row>
    <row r="25" spans="1:9" ht="12.75" x14ac:dyDescent="0.2">
      <c r="A25" s="638" t="s">
        <v>19</v>
      </c>
      <c r="B25" s="618">
        <v>0</v>
      </c>
      <c r="C25" s="736">
        <f>ROUND($I$7*B25,2)</f>
        <v>0</v>
      </c>
      <c r="D25" s="715"/>
      <c r="E25" s="716"/>
      <c r="F25" s="710"/>
      <c r="G25" s="710"/>
      <c r="H25" s="710"/>
      <c r="I25" s="710"/>
    </row>
    <row r="26" spans="1:9" ht="12.75" x14ac:dyDescent="0.2">
      <c r="A26" s="638" t="s">
        <v>20</v>
      </c>
      <c r="B26" s="618">
        <v>0</v>
      </c>
      <c r="C26" s="737">
        <f>ROUND($I$7*B26,2)</f>
        <v>0</v>
      </c>
      <c r="D26" s="715"/>
      <c r="E26" s="716"/>
      <c r="F26" s="710"/>
      <c r="G26" s="710"/>
      <c r="H26" s="710"/>
      <c r="I26" s="710"/>
    </row>
    <row r="27" spans="1:9" ht="13.5" thickBot="1" x14ac:dyDescent="0.25">
      <c r="A27" s="655" t="s">
        <v>21</v>
      </c>
      <c r="B27" s="735">
        <v>0</v>
      </c>
      <c r="C27" s="736">
        <f>ROUND($I$7*B27,2)</f>
        <v>0</v>
      </c>
      <c r="D27" s="715"/>
      <c r="E27" s="716"/>
      <c r="F27" s="710"/>
      <c r="G27" s="710"/>
      <c r="H27" s="710"/>
      <c r="I27" s="710"/>
    </row>
    <row r="28" spans="1:9" ht="12.75" x14ac:dyDescent="0.2">
      <c r="A28" s="741" t="s">
        <v>17</v>
      </c>
      <c r="B28" s="742">
        <f ca="1">SUM(B25:B28)</f>
        <v>0</v>
      </c>
      <c r="C28" s="744">
        <f>SUM(C25:C27)</f>
        <v>0</v>
      </c>
      <c r="D28" s="715"/>
      <c r="E28" s="716"/>
      <c r="F28" s="710"/>
      <c r="G28" s="710"/>
      <c r="H28" s="710"/>
      <c r="I28" s="710"/>
    </row>
    <row r="29" spans="1:9" ht="5.25" customHeight="1" thickBot="1" x14ac:dyDescent="0.25">
      <c r="A29" s="620"/>
      <c r="B29" s="637"/>
      <c r="C29" s="637"/>
      <c r="D29" s="745"/>
      <c r="E29" s="745"/>
      <c r="F29" s="745"/>
      <c r="G29" s="745"/>
      <c r="H29" s="745"/>
      <c r="I29" s="745"/>
    </row>
    <row r="30" spans="1:9" ht="15" customHeight="1" x14ac:dyDescent="0.2">
      <c r="A30" s="700"/>
      <c r="B30" s="773" t="s">
        <v>276</v>
      </c>
      <c r="C30" s="774"/>
      <c r="D30" s="775"/>
      <c r="E30" s="779">
        <f>C22+C28+D7</f>
        <v>0</v>
      </c>
      <c r="F30" s="780"/>
      <c r="G30" s="781"/>
      <c r="H30" s="700"/>
      <c r="I30" s="700"/>
    </row>
    <row r="31" spans="1:9" ht="13.5" thickBot="1" x14ac:dyDescent="0.25">
      <c r="A31" s="700"/>
      <c r="B31" s="776" t="s">
        <v>295</v>
      </c>
      <c r="C31" s="777"/>
      <c r="D31" s="778"/>
      <c r="E31" s="782">
        <f>E30*12</f>
        <v>0</v>
      </c>
      <c r="F31" s="783"/>
      <c r="G31" s="784"/>
      <c r="H31" s="700"/>
      <c r="I31" s="700"/>
    </row>
    <row r="32" spans="1:9" ht="5.25" customHeight="1" x14ac:dyDescent="0.2"/>
    <row r="33" spans="1:9" hidden="1" x14ac:dyDescent="0.2"/>
    <row r="34" spans="1:9" hidden="1" x14ac:dyDescent="0.2"/>
    <row r="35" spans="1:9" hidden="1" x14ac:dyDescent="0.2"/>
    <row r="36" spans="1:9" hidden="1" x14ac:dyDescent="0.2"/>
    <row r="37" spans="1:9" ht="15.75" hidden="1" customHeight="1" x14ac:dyDescent="0.2"/>
    <row r="38" spans="1:9" ht="12.75" hidden="1" x14ac:dyDescent="0.2">
      <c r="A38" s="621"/>
      <c r="B38" s="621"/>
      <c r="C38" s="622"/>
      <c r="D38" s="623"/>
      <c r="E38" s="623"/>
      <c r="F38" s="623"/>
      <c r="G38" s="624"/>
      <c r="H38" s="625"/>
      <c r="I38" s="625"/>
    </row>
    <row r="39" spans="1:9" ht="15.75" hidden="1" customHeight="1" x14ac:dyDescent="0.2">
      <c r="I39" s="636"/>
    </row>
    <row r="40" spans="1:9" ht="15" hidden="1" customHeight="1" x14ac:dyDescent="0.2">
      <c r="I40" s="617"/>
    </row>
    <row r="41" spans="1:9" hidden="1" x14ac:dyDescent="0.2">
      <c r="F41" s="627"/>
      <c r="G41" s="628"/>
      <c r="H41" s="629"/>
    </row>
    <row r="42" spans="1:9" hidden="1" x14ac:dyDescent="0.2">
      <c r="F42" s="627"/>
      <c r="G42" s="628"/>
      <c r="H42" s="629"/>
    </row>
    <row r="43" spans="1:9" hidden="1" x14ac:dyDescent="0.2">
      <c r="F43" s="627"/>
      <c r="G43" s="628"/>
      <c r="H43" s="630"/>
    </row>
    <row r="44" spans="1:9" hidden="1" x14ac:dyDescent="0.2">
      <c r="A44" s="627"/>
      <c r="B44" s="631"/>
      <c r="C44" s="631"/>
      <c r="D44" s="631"/>
      <c r="E44" s="626"/>
      <c r="F44" s="627"/>
      <c r="G44" s="628"/>
      <c r="H44" s="632"/>
    </row>
    <row r="45" spans="1:9" hidden="1" x14ac:dyDescent="0.2">
      <c r="F45" s="626"/>
      <c r="G45" s="627"/>
      <c r="H45" s="626"/>
      <c r="I45" s="626"/>
    </row>
    <row r="46" spans="1:9" hidden="1" x14ac:dyDescent="0.2">
      <c r="F46" s="626"/>
      <c r="G46" s="627"/>
      <c r="H46" s="626"/>
      <c r="I46" s="626"/>
    </row>
    <row r="47" spans="1:9" hidden="1" x14ac:dyDescent="0.2">
      <c r="F47" s="626"/>
      <c r="G47" s="627"/>
      <c r="H47" s="626"/>
      <c r="I47" s="626"/>
    </row>
    <row r="48" spans="1:9" hidden="1" x14ac:dyDescent="0.2">
      <c r="F48" s="626"/>
      <c r="G48" s="627"/>
      <c r="H48" s="626"/>
      <c r="I48" s="626"/>
    </row>
    <row r="49" spans="6:9" hidden="1" x14ac:dyDescent="0.2">
      <c r="F49" s="626"/>
      <c r="G49" s="627"/>
      <c r="H49" s="626"/>
      <c r="I49" s="626"/>
    </row>
    <row r="50" spans="6:9" hidden="1" x14ac:dyDescent="0.2">
      <c r="F50" s="633"/>
      <c r="G50" s="627"/>
      <c r="H50" s="634"/>
      <c r="I50" s="626"/>
    </row>
    <row r="51" spans="6:9" hidden="1" x14ac:dyDescent="0.2"/>
    <row r="52" spans="6:9" hidden="1" x14ac:dyDescent="0.2"/>
    <row r="53" spans="6:9" hidden="1" x14ac:dyDescent="0.2"/>
    <row r="54" spans="6:9" hidden="1" x14ac:dyDescent="0.2"/>
    <row r="55" spans="6:9" hidden="1" x14ac:dyDescent="0.2"/>
    <row r="56" spans="6:9" hidden="1" x14ac:dyDescent="0.2"/>
    <row r="57" spans="6:9" hidden="1" x14ac:dyDescent="0.2"/>
    <row r="58" spans="6:9" hidden="1" x14ac:dyDescent="0.2"/>
    <row r="59" spans="6:9" hidden="1" x14ac:dyDescent="0.2"/>
    <row r="60" spans="6:9" hidden="1" x14ac:dyDescent="0.2"/>
    <row r="61" spans="6:9" hidden="1" x14ac:dyDescent="0.2"/>
    <row r="62" spans="6:9" hidden="1" x14ac:dyDescent="0.2">
      <c r="F62" s="635"/>
    </row>
    <row r="63" spans="6:9" x14ac:dyDescent="0.2"/>
    <row r="64" spans="6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</sheetData>
  <sheetProtection algorithmName="SHA-512" hashValue="NfAfBAI8YG+KpiWFQ9tRdC7iEaqqKn2udVNfT4Ek67jOViE4bRAn+EvW6PBvmHPzF1yFnvg52Kat/ZEZ8G9EHw==" saltValue="lW7m5ahlSbJfqLY8T3/Udw==" spinCount="100000" sheet="1" objects="1" scenarios="1" selectLockedCells="1"/>
  <mergeCells count="6">
    <mergeCell ref="B30:D30"/>
    <mergeCell ref="B31:D31"/>
    <mergeCell ref="E30:G30"/>
    <mergeCell ref="E31:G31"/>
    <mergeCell ref="A1:D1"/>
    <mergeCell ref="E1:I1"/>
  </mergeCells>
  <conditionalFormatting sqref="H13 C13">
    <cfRule type="expression" priority="1">
      <formula>núm_2</formula>
    </cfRule>
  </conditionalFormatting>
  <printOptions horizontalCentered="1"/>
  <pageMargins left="0.31496062992125984" right="0.31496062992125984" top="0.31496062992125984" bottom="0.31496062992125984" header="0.31496062992125984" footer="0.31496062992125984"/>
  <pageSetup paperSize="9" scale="60" orientation="landscape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zoomScaleNormal="100" workbookViewId="0">
      <selection activeCell="B33" activeCellId="2" sqref="C14:C20 B27:B29 B33:B35"/>
    </sheetView>
  </sheetViews>
  <sheetFormatPr defaultColWidth="0" defaultRowHeight="11.25" customHeight="1" zeroHeight="1" x14ac:dyDescent="0.2"/>
  <cols>
    <col min="1" max="1" width="49.7109375" style="616" bestFit="1" customWidth="1"/>
    <col min="2" max="2" width="30.7109375" style="616" customWidth="1"/>
    <col min="3" max="3" width="22.28515625" style="616" customWidth="1"/>
    <col min="4" max="4" width="24.140625" style="616" customWidth="1"/>
    <col min="5" max="5" width="16.85546875" style="616" bestFit="1" customWidth="1"/>
    <col min="6" max="6" width="24.7109375" style="616" customWidth="1"/>
    <col min="7" max="7" width="21.7109375" style="616" customWidth="1"/>
    <col min="8" max="8" width="15.85546875" style="616" customWidth="1"/>
    <col min="9" max="9" width="26.7109375" style="616" customWidth="1"/>
    <col min="10" max="16384" width="9.140625" style="616" hidden="1"/>
  </cols>
  <sheetData>
    <row r="1" spans="1:9" ht="12.75" x14ac:dyDescent="0.2">
      <c r="A1" s="785" t="s">
        <v>273</v>
      </c>
      <c r="B1" s="786"/>
      <c r="C1" s="786"/>
      <c r="D1" s="786"/>
      <c r="E1" s="787" t="s">
        <v>265</v>
      </c>
      <c r="F1" s="788"/>
      <c r="G1" s="788"/>
      <c r="H1" s="788"/>
      <c r="I1" s="789"/>
    </row>
    <row r="2" spans="1:9" ht="25.5" x14ac:dyDescent="0.2">
      <c r="A2" s="722" t="s">
        <v>28</v>
      </c>
      <c r="B2" s="723" t="s">
        <v>29</v>
      </c>
      <c r="C2" s="724" t="s">
        <v>257</v>
      </c>
      <c r="D2" s="725" t="s">
        <v>258</v>
      </c>
      <c r="E2" s="726" t="s">
        <v>270</v>
      </c>
      <c r="F2" s="724" t="s">
        <v>267</v>
      </c>
      <c r="G2" s="724" t="s">
        <v>266</v>
      </c>
      <c r="H2" s="723" t="s">
        <v>269</v>
      </c>
      <c r="I2" s="723" t="s">
        <v>268</v>
      </c>
    </row>
    <row r="3" spans="1:9" ht="12.75" x14ac:dyDescent="0.2">
      <c r="A3" s="739" t="s">
        <v>281</v>
      </c>
      <c r="B3" s="740">
        <v>129</v>
      </c>
      <c r="C3" s="728">
        <f>IFERROR(H3-G3-F3,0)</f>
        <v>0</v>
      </c>
      <c r="D3" s="729">
        <f t="shared" ref="D3:D9" si="0">IFERROR(B3*C3,0)</f>
        <v>0</v>
      </c>
      <c r="E3" s="730">
        <f>IFERROR(I3/$I$11,0)</f>
        <v>0</v>
      </c>
      <c r="F3" s="728">
        <f>IFERROR(($C$30*E3)/B3,0)</f>
        <v>0</v>
      </c>
      <c r="G3" s="728">
        <f>IFERROR(($C$36*E3)/B3,0)</f>
        <v>0</v>
      </c>
      <c r="H3" s="731">
        <f>C14</f>
        <v>0</v>
      </c>
      <c r="I3" s="732">
        <f>D14</f>
        <v>0</v>
      </c>
    </row>
    <row r="4" spans="1:9" ht="12.75" x14ac:dyDescent="0.2">
      <c r="A4" s="739" t="s">
        <v>277</v>
      </c>
      <c r="B4" s="740">
        <v>1462</v>
      </c>
      <c r="C4" s="728">
        <f t="shared" ref="C4:C8" si="1">IFERROR(H4-G4-F4,0)</f>
        <v>0</v>
      </c>
      <c r="D4" s="729">
        <f t="shared" si="0"/>
        <v>0</v>
      </c>
      <c r="E4" s="730">
        <f>IFERROR(I4/$I$11,0)</f>
        <v>0</v>
      </c>
      <c r="F4" s="728">
        <f>IFERROR(($C$30*E4)/B4,0)</f>
        <v>0</v>
      </c>
      <c r="G4" s="728">
        <f>IFERROR(($C$36*E4)/B4,0)</f>
        <v>0</v>
      </c>
      <c r="H4" s="731">
        <f>C15</f>
        <v>0</v>
      </c>
      <c r="I4" s="732">
        <f>D15</f>
        <v>0</v>
      </c>
    </row>
    <row r="5" spans="1:9" ht="12.75" x14ac:dyDescent="0.2">
      <c r="A5" s="739" t="s">
        <v>282</v>
      </c>
      <c r="B5" s="740">
        <v>5846</v>
      </c>
      <c r="C5" s="728">
        <f t="shared" si="1"/>
        <v>0</v>
      </c>
      <c r="D5" s="729">
        <f t="shared" si="0"/>
        <v>0</v>
      </c>
      <c r="E5" s="730">
        <f>IFERROR(I5/$I$11,0)</f>
        <v>0</v>
      </c>
      <c r="F5" s="728">
        <f>IFERROR(($C$30*E5)/B5,0)</f>
        <v>0</v>
      </c>
      <c r="G5" s="728">
        <f>IFERROR(($C$36*E5)/B5,0)</f>
        <v>0</v>
      </c>
      <c r="H5" s="731">
        <f>C16</f>
        <v>0</v>
      </c>
      <c r="I5" s="732">
        <f>D16</f>
        <v>0</v>
      </c>
    </row>
    <row r="6" spans="1:9" ht="12.75" x14ac:dyDescent="0.2">
      <c r="A6" s="739" t="s">
        <v>283</v>
      </c>
      <c r="B6" s="740">
        <v>77</v>
      </c>
      <c r="C6" s="728">
        <f t="shared" si="1"/>
        <v>0</v>
      </c>
      <c r="D6" s="729">
        <f t="shared" si="0"/>
        <v>0</v>
      </c>
      <c r="E6" s="730">
        <f>IFERROR(I6/$I$11,0)</f>
        <v>0</v>
      </c>
      <c r="F6" s="728">
        <f>IFERROR(($C$30*E6)/B6,0)</f>
        <v>0</v>
      </c>
      <c r="G6" s="728">
        <f>IFERROR(($C$36*E6)/B6,0)</f>
        <v>0</v>
      </c>
      <c r="H6" s="731">
        <f>C17</f>
        <v>0</v>
      </c>
      <c r="I6" s="732">
        <f>D17</f>
        <v>0</v>
      </c>
    </row>
    <row r="7" spans="1:9" ht="14.25" customHeight="1" x14ac:dyDescent="0.2">
      <c r="A7" s="866" t="s">
        <v>284</v>
      </c>
      <c r="B7" s="867">
        <v>77</v>
      </c>
      <c r="C7" s="868">
        <f t="shared" si="1"/>
        <v>0</v>
      </c>
      <c r="D7" s="869">
        <f t="shared" si="0"/>
        <v>0</v>
      </c>
      <c r="E7" s="870">
        <f>IFERROR(I7/$I$11,0)</f>
        <v>0</v>
      </c>
      <c r="F7" s="868">
        <f>IFERROR(($C$30*E7)/B7,0)</f>
        <v>0</v>
      </c>
      <c r="G7" s="868">
        <f>IFERROR(($C$36*E7)/B7,0)</f>
        <v>0</v>
      </c>
      <c r="H7" s="871">
        <f>C18</f>
        <v>0</v>
      </c>
      <c r="I7" s="872">
        <f>D18</f>
        <v>0</v>
      </c>
    </row>
    <row r="8" spans="1:9" ht="12.75" x14ac:dyDescent="0.2">
      <c r="A8" s="873" t="s">
        <v>285</v>
      </c>
      <c r="B8" s="874">
        <v>129</v>
      </c>
      <c r="C8" s="875">
        <f t="shared" si="1"/>
        <v>0</v>
      </c>
      <c r="D8" s="875">
        <f t="shared" si="0"/>
        <v>0</v>
      </c>
      <c r="E8" s="876">
        <f>IFERROR(I8/$I$11,0)</f>
        <v>0</v>
      </c>
      <c r="F8" s="875">
        <f>IFERROR(($C$30*E8)/B8,0)</f>
        <v>0</v>
      </c>
      <c r="G8" s="875">
        <f>IFERROR(($C$36*E8)/B8,0)</f>
        <v>0</v>
      </c>
      <c r="H8" s="877">
        <f>C19</f>
        <v>0</v>
      </c>
      <c r="I8" s="878">
        <f>D19</f>
        <v>0</v>
      </c>
    </row>
    <row r="9" spans="1:9" ht="12.75" x14ac:dyDescent="0.2">
      <c r="A9" s="873" t="s">
        <v>286</v>
      </c>
      <c r="B9" s="874">
        <v>129</v>
      </c>
      <c r="C9" s="875">
        <f>IFERROR(H9-G9-F9,0)</f>
        <v>0</v>
      </c>
      <c r="D9" s="875">
        <f t="shared" si="0"/>
        <v>0</v>
      </c>
      <c r="E9" s="876">
        <f>IFERROR(I9/$I$11,0)</f>
        <v>0</v>
      </c>
      <c r="F9" s="875">
        <f>IFERROR(($C$30*E9)/B9,0)</f>
        <v>0</v>
      </c>
      <c r="G9" s="875">
        <f>IFERROR(($C$36*E9)/B9,0)</f>
        <v>0</v>
      </c>
      <c r="H9" s="877">
        <f>C20</f>
        <v>0</v>
      </c>
      <c r="I9" s="878">
        <f>D20</f>
        <v>0</v>
      </c>
    </row>
    <row r="10" spans="1:9" s="627" customFormat="1" ht="5.25" customHeight="1" thickBot="1" x14ac:dyDescent="0.25">
      <c r="A10" s="642"/>
      <c r="B10" s="661"/>
      <c r="C10" s="662"/>
      <c r="D10" s="662"/>
      <c r="E10" s="663"/>
      <c r="F10" s="662"/>
      <c r="G10" s="662"/>
      <c r="H10" s="664"/>
      <c r="I10" s="665"/>
    </row>
    <row r="11" spans="1:9" ht="13.5" thickBot="1" x14ac:dyDescent="0.25">
      <c r="A11" s="652" t="s">
        <v>8</v>
      </c>
      <c r="B11" s="666">
        <f>SUM(Tabela97[Horas /Mês])</f>
        <v>7849</v>
      </c>
      <c r="C11" s="717"/>
      <c r="D11" s="667">
        <f>SUM(D3:D9)</f>
        <v>0</v>
      </c>
      <c r="E11" s="668" t="e">
        <f>I11/$I$11</f>
        <v>#DIV/0!</v>
      </c>
      <c r="F11" s="717"/>
      <c r="G11" s="717"/>
      <c r="H11" s="717"/>
      <c r="I11" s="669">
        <f>SUM(Tabela97[Valor da hora bruta /Mês])</f>
        <v>0</v>
      </c>
    </row>
    <row r="12" spans="1:9" s="672" customFormat="1" ht="5.25" customHeight="1" x14ac:dyDescent="0.2">
      <c r="A12" s="643"/>
      <c r="B12" s="670"/>
      <c r="C12" s="644"/>
      <c r="D12" s="644"/>
      <c r="E12" s="645"/>
      <c r="F12" s="644"/>
      <c r="G12" s="644"/>
      <c r="H12" s="644"/>
      <c r="I12" s="671"/>
    </row>
    <row r="13" spans="1:9" ht="12.75" x14ac:dyDescent="0.2">
      <c r="A13" s="657" t="s">
        <v>28</v>
      </c>
      <c r="B13" s="658" t="s">
        <v>29</v>
      </c>
      <c r="C13" s="659" t="s">
        <v>263</v>
      </c>
      <c r="D13" s="658" t="s">
        <v>264</v>
      </c>
      <c r="E13" s="656"/>
      <c r="F13" s="656"/>
      <c r="G13" s="699"/>
      <c r="H13" s="700"/>
      <c r="I13" s="700"/>
    </row>
    <row r="14" spans="1:9" ht="15" customHeight="1" x14ac:dyDescent="0.2">
      <c r="A14" s="641" t="str">
        <f>A3</f>
        <v xml:space="preserve">MÉDICO COORDENAÇÃO </v>
      </c>
      <c r="B14" s="639">
        <f>B3</f>
        <v>129</v>
      </c>
      <c r="C14" s="746">
        <v>0</v>
      </c>
      <c r="D14" s="640">
        <f t="shared" ref="D14:D20" si="2">B14*C14</f>
        <v>0</v>
      </c>
      <c r="E14" s="701"/>
      <c r="F14" s="702"/>
      <c r="G14" s="703"/>
      <c r="H14" s="700"/>
      <c r="I14" s="700"/>
    </row>
    <row r="15" spans="1:9" ht="15" customHeight="1" x14ac:dyDescent="0.2">
      <c r="A15" s="727" t="str">
        <f>A4</f>
        <v>MÉDICO CLÍNICA MÉDICA ROTINA</v>
      </c>
      <c r="B15" s="660">
        <f>B4</f>
        <v>1462</v>
      </c>
      <c r="C15" s="747">
        <v>0</v>
      </c>
      <c r="D15" s="738">
        <f t="shared" si="2"/>
        <v>0</v>
      </c>
      <c r="E15" s="701"/>
      <c r="F15" s="702"/>
      <c r="G15" s="703"/>
      <c r="H15" s="700"/>
      <c r="I15" s="700"/>
    </row>
    <row r="16" spans="1:9" ht="15" customHeight="1" x14ac:dyDescent="0.2">
      <c r="A16" s="641" t="str">
        <f>A5</f>
        <v>MÉDICO CLÍNICA MÉDICA PLANTÃO</v>
      </c>
      <c r="B16" s="639">
        <f>B5</f>
        <v>5846</v>
      </c>
      <c r="C16" s="747">
        <v>0</v>
      </c>
      <c r="D16" s="721">
        <f t="shared" si="2"/>
        <v>0</v>
      </c>
      <c r="E16" s="701"/>
      <c r="F16" s="702"/>
      <c r="G16" s="703"/>
      <c r="H16" s="700"/>
      <c r="I16" s="700"/>
    </row>
    <row r="17" spans="1:9" ht="15" customHeight="1" x14ac:dyDescent="0.2">
      <c r="A17" s="727" t="str">
        <f>A6</f>
        <v>MÉDICO NEUROLOGIA</v>
      </c>
      <c r="B17" s="660">
        <f>B6</f>
        <v>77</v>
      </c>
      <c r="C17" s="747">
        <v>0</v>
      </c>
      <c r="D17" s="738">
        <f t="shared" si="2"/>
        <v>0</v>
      </c>
      <c r="E17" s="701"/>
      <c r="F17" s="702"/>
      <c r="G17" s="703"/>
      <c r="H17" s="700"/>
      <c r="I17" s="700"/>
    </row>
    <row r="18" spans="1:9" ht="15" customHeight="1" x14ac:dyDescent="0.2">
      <c r="A18" s="641" t="str">
        <f>A7</f>
        <v>MÉDICO NEFROLOGIA</v>
      </c>
      <c r="B18" s="639">
        <f>B7</f>
        <v>77</v>
      </c>
      <c r="C18" s="747">
        <v>0</v>
      </c>
      <c r="D18" s="721">
        <f t="shared" si="2"/>
        <v>0</v>
      </c>
      <c r="E18" s="701"/>
      <c r="F18" s="702"/>
      <c r="G18" s="703"/>
      <c r="H18" s="700"/>
      <c r="I18" s="700"/>
    </row>
    <row r="19" spans="1:9" ht="12.75" x14ac:dyDescent="0.2">
      <c r="A19" s="727" t="str">
        <f>A8</f>
        <v>MÉDICO CARDIOLOGIA</v>
      </c>
      <c r="B19" s="660">
        <f>B8</f>
        <v>129</v>
      </c>
      <c r="C19" s="747">
        <v>0</v>
      </c>
      <c r="D19" s="732">
        <f t="shared" si="2"/>
        <v>0</v>
      </c>
      <c r="E19" s="701"/>
      <c r="F19" s="702"/>
      <c r="G19" s="703"/>
      <c r="H19" s="700"/>
      <c r="I19" s="700"/>
    </row>
    <row r="20" spans="1:9" ht="12.75" x14ac:dyDescent="0.2">
      <c r="A20" s="641" t="str">
        <f>A9</f>
        <v>MÉDICO INFECTOLOGIA</v>
      </c>
      <c r="B20" s="639">
        <f>B9</f>
        <v>129</v>
      </c>
      <c r="C20" s="747">
        <v>0</v>
      </c>
      <c r="D20" s="732">
        <f t="shared" si="2"/>
        <v>0</v>
      </c>
      <c r="E20" s="701"/>
      <c r="F20" s="702"/>
      <c r="G20" s="703"/>
      <c r="H20" s="700"/>
      <c r="I20" s="700"/>
    </row>
    <row r="21" spans="1:9" s="690" customFormat="1" ht="5.25" customHeight="1" thickBot="1" x14ac:dyDescent="0.25">
      <c r="A21" s="681"/>
      <c r="B21" s="681"/>
      <c r="C21" s="682"/>
      <c r="D21" s="683"/>
      <c r="E21" s="684"/>
      <c r="F21" s="685"/>
      <c r="G21" s="686"/>
      <c r="H21" s="687"/>
      <c r="I21" s="688"/>
    </row>
    <row r="22" spans="1:9" ht="15" customHeight="1" x14ac:dyDescent="0.2">
      <c r="A22" s="673" t="s">
        <v>255</v>
      </c>
      <c r="B22" s="674">
        <f>SUM(Tabela85[Horas /Mês])</f>
        <v>7849</v>
      </c>
      <c r="C22" s="718"/>
      <c r="D22" s="675">
        <f>SUM(D14:D20)</f>
        <v>0</v>
      </c>
      <c r="E22" s="704"/>
      <c r="F22" s="705"/>
      <c r="G22" s="706"/>
      <c r="H22" s="707"/>
      <c r="I22" s="708"/>
    </row>
    <row r="23" spans="1:9" ht="15" customHeight="1" x14ac:dyDescent="0.2">
      <c r="A23" s="676" t="s">
        <v>256</v>
      </c>
      <c r="B23" s="651">
        <f>B22*6</f>
        <v>47094</v>
      </c>
      <c r="C23" s="719"/>
      <c r="D23" s="677">
        <f>D22*6</f>
        <v>0</v>
      </c>
      <c r="E23" s="704"/>
      <c r="F23" s="705"/>
      <c r="G23" s="706"/>
      <c r="H23" s="707"/>
      <c r="I23" s="708"/>
    </row>
    <row r="24" spans="1:9" ht="15" customHeight="1" thickBot="1" x14ac:dyDescent="0.25">
      <c r="A24" s="678" t="s">
        <v>272</v>
      </c>
      <c r="B24" s="679">
        <f>B22*12</f>
        <v>94188</v>
      </c>
      <c r="C24" s="720"/>
      <c r="D24" s="680">
        <f>D22*12</f>
        <v>0</v>
      </c>
      <c r="E24" s="704"/>
      <c r="F24" s="705"/>
      <c r="G24" s="706"/>
      <c r="H24" s="709"/>
      <c r="I24" s="709"/>
    </row>
    <row r="25" spans="1:9" s="690" customFormat="1" ht="5.25" customHeight="1" x14ac:dyDescent="0.2">
      <c r="A25" s="691"/>
      <c r="B25" s="692"/>
      <c r="C25" s="693"/>
      <c r="D25" s="694"/>
      <c r="E25" s="695"/>
      <c r="F25" s="696"/>
      <c r="G25" s="686"/>
      <c r="H25" s="689"/>
      <c r="I25" s="697"/>
    </row>
    <row r="26" spans="1:9" ht="12.75" x14ac:dyDescent="0.2">
      <c r="A26" s="654" t="s">
        <v>274</v>
      </c>
      <c r="B26" s="649" t="s">
        <v>271</v>
      </c>
      <c r="C26" s="646" t="s">
        <v>262</v>
      </c>
      <c r="D26" s="700"/>
      <c r="E26" s="700"/>
      <c r="F26" s="700"/>
      <c r="G26" s="700"/>
      <c r="H26" s="710"/>
      <c r="I26" s="710"/>
    </row>
    <row r="27" spans="1:9" ht="12.75" x14ac:dyDescent="0.2">
      <c r="A27" s="647" t="s">
        <v>259</v>
      </c>
      <c r="B27" s="618">
        <v>0</v>
      </c>
      <c r="C27" s="733">
        <f>Tabela53[[#This Row],[(%)]]*$I$11</f>
        <v>0</v>
      </c>
      <c r="D27" s="700"/>
      <c r="E27" s="700"/>
      <c r="F27" s="700"/>
      <c r="G27" s="700"/>
      <c r="H27" s="711"/>
      <c r="I27" s="710"/>
    </row>
    <row r="28" spans="1:9" ht="12.75" x14ac:dyDescent="0.2">
      <c r="A28" s="647" t="s">
        <v>15</v>
      </c>
      <c r="B28" s="618">
        <v>0</v>
      </c>
      <c r="C28" s="734">
        <f>Tabela53[[#This Row],[(%)]]*$I$11</f>
        <v>0</v>
      </c>
      <c r="D28" s="700"/>
      <c r="E28" s="700"/>
      <c r="F28" s="700"/>
      <c r="G28" s="700"/>
      <c r="H28" s="711"/>
      <c r="I28" s="710"/>
    </row>
    <row r="29" spans="1:9" ht="13.5" thickBot="1" x14ac:dyDescent="0.25">
      <c r="A29" s="648" t="s">
        <v>55</v>
      </c>
      <c r="B29" s="618">
        <v>0</v>
      </c>
      <c r="C29" s="733">
        <f>Tabela53[[#This Row],[(%)]]*$I$11</f>
        <v>0</v>
      </c>
      <c r="D29" s="700"/>
      <c r="E29" s="700"/>
      <c r="F29" s="700"/>
      <c r="G29" s="700"/>
      <c r="H29" s="711"/>
      <c r="I29" s="710"/>
    </row>
    <row r="30" spans="1:9" s="619" customFormat="1" ht="12.75" x14ac:dyDescent="0.25">
      <c r="A30" s="741" t="s">
        <v>260</v>
      </c>
      <c r="B30" s="742">
        <f>SUM(B27:B29)</f>
        <v>0</v>
      </c>
      <c r="C30" s="743">
        <f>SUM(C27:C29)</f>
        <v>0</v>
      </c>
      <c r="D30" s="712"/>
      <c r="E30" s="712"/>
      <c r="F30" s="712"/>
      <c r="G30" s="712"/>
      <c r="H30" s="713"/>
      <c r="I30" s="714"/>
    </row>
    <row r="31" spans="1:9" s="690" customFormat="1" ht="5.25" customHeight="1" x14ac:dyDescent="0.2">
      <c r="A31" s="691"/>
      <c r="B31" s="692"/>
      <c r="C31" s="698"/>
      <c r="D31" s="694"/>
      <c r="E31" s="698"/>
      <c r="F31" s="689"/>
      <c r="G31" s="689"/>
      <c r="H31" s="689"/>
      <c r="I31" s="689"/>
    </row>
    <row r="32" spans="1:9" ht="12.75" x14ac:dyDescent="0.2">
      <c r="A32" s="649" t="s">
        <v>275</v>
      </c>
      <c r="B32" s="650" t="s">
        <v>261</v>
      </c>
      <c r="C32" s="653" t="s">
        <v>254</v>
      </c>
      <c r="D32" s="715"/>
      <c r="E32" s="716"/>
      <c r="F32" s="710"/>
      <c r="G32" s="710"/>
      <c r="H32" s="710"/>
      <c r="I32" s="710"/>
    </row>
    <row r="33" spans="1:9" ht="12.75" x14ac:dyDescent="0.2">
      <c r="A33" s="749" t="s">
        <v>19</v>
      </c>
      <c r="B33" s="618">
        <v>0</v>
      </c>
      <c r="C33" s="736">
        <f>ROUND($I$11*B33,2)</f>
        <v>0</v>
      </c>
      <c r="D33" s="715"/>
      <c r="E33" s="716"/>
      <c r="F33" s="710"/>
      <c r="G33" s="710"/>
      <c r="H33" s="710"/>
      <c r="I33" s="710"/>
    </row>
    <row r="34" spans="1:9" ht="12.75" x14ac:dyDescent="0.2">
      <c r="A34" s="749" t="s">
        <v>20</v>
      </c>
      <c r="B34" s="618">
        <v>0</v>
      </c>
      <c r="C34" s="737">
        <f>ROUND($I$11*B34,2)</f>
        <v>0</v>
      </c>
      <c r="D34" s="715"/>
      <c r="E34" s="716"/>
      <c r="F34" s="710"/>
      <c r="G34" s="710"/>
      <c r="H34" s="710"/>
      <c r="I34" s="710"/>
    </row>
    <row r="35" spans="1:9" ht="13.5" thickBot="1" x14ac:dyDescent="0.25">
      <c r="A35" s="655" t="s">
        <v>21</v>
      </c>
      <c r="B35" s="735">
        <v>0</v>
      </c>
      <c r="C35" s="736">
        <f>ROUND($I$11*B35,2)</f>
        <v>0</v>
      </c>
      <c r="D35" s="715"/>
      <c r="E35" s="716"/>
      <c r="F35" s="710"/>
      <c r="G35" s="710"/>
      <c r="H35" s="710"/>
      <c r="I35" s="710"/>
    </row>
    <row r="36" spans="1:9" ht="12.75" x14ac:dyDescent="0.2">
      <c r="A36" s="741" t="s">
        <v>17</v>
      </c>
      <c r="B36" s="742">
        <f ca="1">SUM(B33:B36)</f>
        <v>0</v>
      </c>
      <c r="C36" s="744">
        <f>SUM(C33:C35)</f>
        <v>0</v>
      </c>
      <c r="D36" s="715"/>
      <c r="E36" s="716"/>
      <c r="F36" s="710"/>
      <c r="G36" s="710"/>
      <c r="H36" s="710"/>
      <c r="I36" s="710"/>
    </row>
    <row r="37" spans="1:9" ht="5.25" customHeight="1" thickBot="1" x14ac:dyDescent="0.25">
      <c r="A37" s="620"/>
      <c r="B37" s="748"/>
      <c r="C37" s="748"/>
      <c r="D37" s="748"/>
      <c r="E37" s="748"/>
      <c r="F37" s="748"/>
      <c r="G37" s="748"/>
      <c r="H37" s="748"/>
      <c r="I37" s="748"/>
    </row>
    <row r="38" spans="1:9" ht="15" customHeight="1" x14ac:dyDescent="0.2">
      <c r="A38" s="700"/>
      <c r="B38" s="773" t="s">
        <v>276</v>
      </c>
      <c r="C38" s="774"/>
      <c r="D38" s="775"/>
      <c r="E38" s="779">
        <f>C30+C36+D11</f>
        <v>0</v>
      </c>
      <c r="F38" s="780"/>
      <c r="G38" s="781"/>
      <c r="H38" s="700"/>
      <c r="I38" s="700"/>
    </row>
    <row r="39" spans="1:9" ht="13.5" thickBot="1" x14ac:dyDescent="0.25">
      <c r="A39" s="700"/>
      <c r="B39" s="776" t="s">
        <v>295</v>
      </c>
      <c r="C39" s="777"/>
      <c r="D39" s="778"/>
      <c r="E39" s="782">
        <f>E38*12</f>
        <v>0</v>
      </c>
      <c r="F39" s="783"/>
      <c r="G39" s="784"/>
      <c r="H39" s="700"/>
      <c r="I39" s="700"/>
    </row>
    <row r="40" spans="1:9" ht="5.25" customHeight="1" x14ac:dyDescent="0.2"/>
    <row r="41" spans="1:9" hidden="1" x14ac:dyDescent="0.2"/>
    <row r="42" spans="1:9" hidden="1" x14ac:dyDescent="0.2"/>
    <row r="43" spans="1:9" hidden="1" x14ac:dyDescent="0.2"/>
    <row r="44" spans="1:9" hidden="1" x14ac:dyDescent="0.2"/>
    <row r="45" spans="1:9" ht="15.75" hidden="1" customHeight="1" x14ac:dyDescent="0.2"/>
    <row r="46" spans="1:9" ht="12.75" hidden="1" x14ac:dyDescent="0.2">
      <c r="A46" s="621"/>
      <c r="B46" s="621"/>
      <c r="C46" s="622"/>
      <c r="D46" s="623"/>
      <c r="E46" s="623"/>
      <c r="F46" s="623"/>
      <c r="G46" s="624"/>
      <c r="H46" s="625"/>
      <c r="I46" s="625"/>
    </row>
    <row r="47" spans="1:9" ht="15.75" hidden="1" customHeight="1" x14ac:dyDescent="0.2">
      <c r="I47" s="636"/>
    </row>
    <row r="48" spans="1:9" ht="15" hidden="1" customHeight="1" x14ac:dyDescent="0.2">
      <c r="I48" s="617"/>
    </row>
    <row r="49" spans="1:9" hidden="1" x14ac:dyDescent="0.2">
      <c r="F49" s="627"/>
      <c r="G49" s="628"/>
      <c r="H49" s="629"/>
    </row>
    <row r="50" spans="1:9" hidden="1" x14ac:dyDescent="0.2">
      <c r="F50" s="627"/>
      <c r="G50" s="628"/>
      <c r="H50" s="629"/>
    </row>
    <row r="51" spans="1:9" hidden="1" x14ac:dyDescent="0.2">
      <c r="F51" s="627"/>
      <c r="G51" s="628"/>
      <c r="H51" s="630"/>
    </row>
    <row r="52" spans="1:9" hidden="1" x14ac:dyDescent="0.2">
      <c r="A52" s="627"/>
      <c r="B52" s="631"/>
      <c r="C52" s="631"/>
      <c r="D52" s="631"/>
      <c r="E52" s="626"/>
      <c r="F52" s="627"/>
      <c r="G52" s="628"/>
      <c r="H52" s="632"/>
    </row>
    <row r="53" spans="1:9" hidden="1" x14ac:dyDescent="0.2">
      <c r="F53" s="626"/>
      <c r="G53" s="627"/>
      <c r="H53" s="626"/>
      <c r="I53" s="626"/>
    </row>
    <row r="54" spans="1:9" hidden="1" x14ac:dyDescent="0.2">
      <c r="F54" s="626"/>
      <c r="G54" s="627"/>
      <c r="H54" s="626"/>
      <c r="I54" s="626"/>
    </row>
    <row r="55" spans="1:9" hidden="1" x14ac:dyDescent="0.2">
      <c r="F55" s="626"/>
      <c r="G55" s="627"/>
      <c r="H55" s="626"/>
      <c r="I55" s="626"/>
    </row>
    <row r="56" spans="1:9" hidden="1" x14ac:dyDescent="0.2">
      <c r="F56" s="626"/>
      <c r="G56" s="627"/>
      <c r="H56" s="626"/>
      <c r="I56" s="626"/>
    </row>
    <row r="57" spans="1:9" hidden="1" x14ac:dyDescent="0.2">
      <c r="F57" s="626"/>
      <c r="G57" s="627"/>
      <c r="H57" s="626"/>
      <c r="I57" s="626"/>
    </row>
    <row r="58" spans="1:9" hidden="1" x14ac:dyDescent="0.2">
      <c r="F58" s="633"/>
      <c r="G58" s="627"/>
      <c r="H58" s="634"/>
      <c r="I58" s="626"/>
    </row>
    <row r="59" spans="1:9" hidden="1" x14ac:dyDescent="0.2"/>
    <row r="60" spans="1:9" hidden="1" x14ac:dyDescent="0.2"/>
    <row r="61" spans="1:9" hidden="1" x14ac:dyDescent="0.2"/>
    <row r="62" spans="1:9" hidden="1" x14ac:dyDescent="0.2"/>
    <row r="63" spans="1:9" hidden="1" x14ac:dyDescent="0.2"/>
    <row r="64" spans="1:9" hidden="1" x14ac:dyDescent="0.2"/>
    <row r="65" spans="6:6" hidden="1" x14ac:dyDescent="0.2"/>
    <row r="66" spans="6:6" hidden="1" x14ac:dyDescent="0.2"/>
    <row r="67" spans="6:6" hidden="1" x14ac:dyDescent="0.2"/>
    <row r="68" spans="6:6" hidden="1" x14ac:dyDescent="0.2"/>
    <row r="69" spans="6:6" hidden="1" x14ac:dyDescent="0.2"/>
    <row r="70" spans="6:6" hidden="1" x14ac:dyDescent="0.2">
      <c r="F70" s="635"/>
    </row>
    <row r="71" spans="6:6" ht="11.25" customHeight="1" x14ac:dyDescent="0.2"/>
    <row r="72" spans="6:6" ht="11.25" customHeight="1" x14ac:dyDescent="0.2"/>
    <row r="73" spans="6:6" ht="11.25" customHeight="1" x14ac:dyDescent="0.2"/>
    <row r="74" spans="6:6" ht="11.25" customHeight="1" x14ac:dyDescent="0.2"/>
    <row r="75" spans="6:6" ht="11.25" customHeight="1" x14ac:dyDescent="0.2"/>
    <row r="76" spans="6:6" ht="11.25" customHeight="1" x14ac:dyDescent="0.2"/>
    <row r="77" spans="6:6" ht="11.25" customHeight="1" x14ac:dyDescent="0.2"/>
    <row r="78" spans="6:6" ht="11.25" customHeight="1" x14ac:dyDescent="0.2"/>
    <row r="79" spans="6:6" ht="11.25" customHeight="1" x14ac:dyDescent="0.2"/>
    <row r="80" spans="6:6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</sheetData>
  <sheetProtection algorithmName="SHA-512" hashValue="sHWRvLscY0n1XPbwkDUCALcQWSENXQ3Y7Phn0wgZlWlQIL/wlsR0LfxicUycDVezE5CYRU4xD0nQ190AZcAM7A==" saltValue="nJ0IB4Gw9F3DJ/R7xGn5ug==" spinCount="100000" sheet="1" objects="1" scenarios="1" selectLockedCells="1"/>
  <mergeCells count="6">
    <mergeCell ref="A1:D1"/>
    <mergeCell ref="E1:I1"/>
    <mergeCell ref="B38:D38"/>
    <mergeCell ref="E38:G38"/>
    <mergeCell ref="B39:D39"/>
    <mergeCell ref="E39:G39"/>
  </mergeCells>
  <conditionalFormatting sqref="H21 C21">
    <cfRule type="expression" priority="1">
      <formula>núm_2</formula>
    </cfRule>
  </conditionalFormatting>
  <printOptions horizontalCentered="1"/>
  <pageMargins left="0.31496062992125984" right="0.31496062992125984" top="0.31496062992125984" bottom="0.31496062992125984" header="0.31496062992125984" footer="0.31496062992125984"/>
  <pageSetup paperSize="9" scale="60" orientation="landscape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zoomScaleNormal="100" workbookViewId="0">
      <selection activeCell="B27" activeCellId="2" sqref="C11:C14 B21:B23 B27:B29"/>
    </sheetView>
  </sheetViews>
  <sheetFormatPr defaultColWidth="0" defaultRowHeight="11.25" customHeight="1" zeroHeight="1" x14ac:dyDescent="0.2"/>
  <cols>
    <col min="1" max="1" width="49.7109375" style="616" bestFit="1" customWidth="1"/>
    <col min="2" max="2" width="30.7109375" style="616" customWidth="1"/>
    <col min="3" max="3" width="22.28515625" style="616" customWidth="1"/>
    <col min="4" max="4" width="24.140625" style="616" customWidth="1"/>
    <col min="5" max="5" width="16.85546875" style="616" bestFit="1" customWidth="1"/>
    <col min="6" max="6" width="24.7109375" style="616" customWidth="1"/>
    <col min="7" max="7" width="21.7109375" style="616" customWidth="1"/>
    <col min="8" max="8" width="15.85546875" style="616" customWidth="1"/>
    <col min="9" max="9" width="26.7109375" style="616" customWidth="1"/>
    <col min="10" max="16384" width="9.140625" style="616" hidden="1"/>
  </cols>
  <sheetData>
    <row r="1" spans="1:9" ht="12.75" x14ac:dyDescent="0.2">
      <c r="A1" s="785" t="s">
        <v>273</v>
      </c>
      <c r="B1" s="786"/>
      <c r="C1" s="786"/>
      <c r="D1" s="786"/>
      <c r="E1" s="787" t="s">
        <v>265</v>
      </c>
      <c r="F1" s="788"/>
      <c r="G1" s="788"/>
      <c r="H1" s="788"/>
      <c r="I1" s="789"/>
    </row>
    <row r="2" spans="1:9" ht="25.5" x14ac:dyDescent="0.2">
      <c r="A2" s="722" t="s">
        <v>28</v>
      </c>
      <c r="B2" s="723" t="s">
        <v>29</v>
      </c>
      <c r="C2" s="724" t="s">
        <v>257</v>
      </c>
      <c r="D2" s="725" t="s">
        <v>258</v>
      </c>
      <c r="E2" s="726" t="s">
        <v>270</v>
      </c>
      <c r="F2" s="724" t="s">
        <v>267</v>
      </c>
      <c r="G2" s="724" t="s">
        <v>266</v>
      </c>
      <c r="H2" s="723" t="s">
        <v>269</v>
      </c>
      <c r="I2" s="723" t="s">
        <v>268</v>
      </c>
    </row>
    <row r="3" spans="1:9" ht="12.75" x14ac:dyDescent="0.2">
      <c r="A3" s="739" t="s">
        <v>287</v>
      </c>
      <c r="B3" s="740">
        <v>129</v>
      </c>
      <c r="C3" s="728">
        <f>IFERROR(H3-G3-F3,0)</f>
        <v>0</v>
      </c>
      <c r="D3" s="729">
        <f t="shared" ref="D3:D6" si="0">IFERROR(B3*C3,0)</f>
        <v>0</v>
      </c>
      <c r="E3" s="730">
        <f>IFERROR(I3/$I$8,0)</f>
        <v>0</v>
      </c>
      <c r="F3" s="728">
        <f>IFERROR(($C$24*E3)/B3,0)</f>
        <v>0</v>
      </c>
      <c r="G3" s="728">
        <f>IFERROR(($C$30*E3)/B3,0)</f>
        <v>0</v>
      </c>
      <c r="H3" s="731">
        <f>C11</f>
        <v>0</v>
      </c>
      <c r="I3" s="732">
        <f>D11</f>
        <v>0</v>
      </c>
    </row>
    <row r="4" spans="1:9" ht="12.75" x14ac:dyDescent="0.2">
      <c r="A4" s="739" t="s">
        <v>212</v>
      </c>
      <c r="B4" s="740">
        <v>155</v>
      </c>
      <c r="C4" s="728">
        <f t="shared" ref="C4:C6" si="1">IFERROR(H4-G4-F4,0)</f>
        <v>0</v>
      </c>
      <c r="D4" s="729">
        <f t="shared" si="0"/>
        <v>0</v>
      </c>
      <c r="E4" s="730">
        <f>IFERROR(I4/$I$8,0)</f>
        <v>0</v>
      </c>
      <c r="F4" s="728">
        <f>IFERROR(($C$24*E4)/B4,0)</f>
        <v>0</v>
      </c>
      <c r="G4" s="728">
        <f>IFERROR(($C$30*E4)/B4,0)</f>
        <v>0</v>
      </c>
      <c r="H4" s="731">
        <f>C12</f>
        <v>0</v>
      </c>
      <c r="I4" s="732">
        <f>D12</f>
        <v>0</v>
      </c>
    </row>
    <row r="5" spans="1:9" ht="12.75" x14ac:dyDescent="0.2">
      <c r="A5" s="739" t="s">
        <v>288</v>
      </c>
      <c r="B5" s="740">
        <v>77</v>
      </c>
      <c r="C5" s="728">
        <f t="shared" si="1"/>
        <v>0</v>
      </c>
      <c r="D5" s="729">
        <f t="shared" si="0"/>
        <v>0</v>
      </c>
      <c r="E5" s="730">
        <f>IFERROR(I5/$I$8,0)</f>
        <v>0</v>
      </c>
      <c r="F5" s="728">
        <f>IFERROR(($C$24*E5)/B5,0)</f>
        <v>0</v>
      </c>
      <c r="G5" s="728">
        <f>IFERROR(($C$30*E5)/B5,0)</f>
        <v>0</v>
      </c>
      <c r="H5" s="731">
        <f>C13</f>
        <v>0</v>
      </c>
      <c r="I5" s="732">
        <f>D13</f>
        <v>0</v>
      </c>
    </row>
    <row r="6" spans="1:9" ht="12.75" x14ac:dyDescent="0.2">
      <c r="A6" s="739" t="s">
        <v>289</v>
      </c>
      <c r="B6" s="740">
        <v>77</v>
      </c>
      <c r="C6" s="728">
        <f t="shared" si="1"/>
        <v>0</v>
      </c>
      <c r="D6" s="729">
        <f t="shared" si="0"/>
        <v>0</v>
      </c>
      <c r="E6" s="730">
        <f>IFERROR(I6/$I$8,0)</f>
        <v>0</v>
      </c>
      <c r="F6" s="728">
        <f>IFERROR(($C$24*E6)/B6,0)</f>
        <v>0</v>
      </c>
      <c r="G6" s="728">
        <f>IFERROR(($C$30*E6)/B6,0)</f>
        <v>0</v>
      </c>
      <c r="H6" s="731">
        <f>C14</f>
        <v>0</v>
      </c>
      <c r="I6" s="732">
        <f>D14</f>
        <v>0</v>
      </c>
    </row>
    <row r="7" spans="1:9" s="627" customFormat="1" ht="5.25" customHeight="1" thickBot="1" x14ac:dyDescent="0.25">
      <c r="A7" s="642"/>
      <c r="B7" s="661"/>
      <c r="C7" s="662"/>
      <c r="D7" s="662"/>
      <c r="E7" s="663"/>
      <c r="F7" s="662"/>
      <c r="G7" s="662"/>
      <c r="H7" s="664"/>
      <c r="I7" s="665"/>
    </row>
    <row r="8" spans="1:9" ht="13.5" thickBot="1" x14ac:dyDescent="0.25">
      <c r="A8" s="652" t="s">
        <v>8</v>
      </c>
      <c r="B8" s="666">
        <f>SUM(Tabela9713[Horas /Mês])</f>
        <v>438</v>
      </c>
      <c r="C8" s="717"/>
      <c r="D8" s="667">
        <f>SUM(D3:D6)</f>
        <v>0</v>
      </c>
      <c r="E8" s="668" t="e">
        <f>I8/$I$8</f>
        <v>#DIV/0!</v>
      </c>
      <c r="F8" s="717"/>
      <c r="G8" s="717"/>
      <c r="H8" s="717"/>
      <c r="I8" s="669">
        <f>SUM(Tabela9713[Valor da hora bruta /Mês])</f>
        <v>0</v>
      </c>
    </row>
    <row r="9" spans="1:9" s="672" customFormat="1" ht="5.25" customHeight="1" x14ac:dyDescent="0.2">
      <c r="A9" s="643"/>
      <c r="B9" s="670"/>
      <c r="C9" s="644"/>
      <c r="D9" s="644"/>
      <c r="E9" s="645"/>
      <c r="F9" s="644"/>
      <c r="G9" s="644"/>
      <c r="H9" s="644"/>
      <c r="I9" s="671"/>
    </row>
    <row r="10" spans="1:9" ht="12.75" x14ac:dyDescent="0.2">
      <c r="A10" s="657" t="s">
        <v>28</v>
      </c>
      <c r="B10" s="658" t="s">
        <v>29</v>
      </c>
      <c r="C10" s="659" t="s">
        <v>263</v>
      </c>
      <c r="D10" s="658" t="s">
        <v>264</v>
      </c>
      <c r="E10" s="656"/>
      <c r="F10" s="656"/>
      <c r="G10" s="699"/>
      <c r="H10" s="700"/>
      <c r="I10" s="700"/>
    </row>
    <row r="11" spans="1:9" ht="15" customHeight="1" x14ac:dyDescent="0.2">
      <c r="A11" s="641" t="str">
        <f>A3</f>
        <v>MÉDICO CIRURGIA COORDENAÇÃO</v>
      </c>
      <c r="B11" s="639">
        <f>B3</f>
        <v>129</v>
      </c>
      <c r="C11" s="746">
        <v>0</v>
      </c>
      <c r="D11" s="640">
        <f t="shared" ref="D11:D14" si="2">B11*C11</f>
        <v>0</v>
      </c>
      <c r="E11" s="701"/>
      <c r="F11" s="702"/>
      <c r="G11" s="703"/>
      <c r="H11" s="700"/>
      <c r="I11" s="700"/>
    </row>
    <row r="12" spans="1:9" ht="15" customHeight="1" x14ac:dyDescent="0.2">
      <c r="A12" s="727" t="str">
        <f>A4</f>
        <v>MÉDICO CIRURGIA GERAL</v>
      </c>
      <c r="B12" s="660">
        <f>B4</f>
        <v>155</v>
      </c>
      <c r="C12" s="747">
        <v>0</v>
      </c>
      <c r="D12" s="738">
        <f t="shared" si="2"/>
        <v>0</v>
      </c>
      <c r="E12" s="701"/>
      <c r="F12" s="702"/>
      <c r="G12" s="703"/>
      <c r="H12" s="700"/>
      <c r="I12" s="700"/>
    </row>
    <row r="13" spans="1:9" ht="15" customHeight="1" x14ac:dyDescent="0.2">
      <c r="A13" s="641" t="str">
        <f>A5</f>
        <v>MÉDICO UROLOGIA</v>
      </c>
      <c r="B13" s="639">
        <f>B5</f>
        <v>77</v>
      </c>
      <c r="C13" s="747">
        <v>0</v>
      </c>
      <c r="D13" s="721">
        <f t="shared" si="2"/>
        <v>0</v>
      </c>
      <c r="E13" s="701"/>
      <c r="F13" s="702"/>
      <c r="G13" s="703"/>
      <c r="H13" s="700"/>
      <c r="I13" s="700"/>
    </row>
    <row r="14" spans="1:9" ht="15" customHeight="1" x14ac:dyDescent="0.2">
      <c r="A14" s="727" t="str">
        <f>A6</f>
        <v>MÉDICO CIRURGIA TORÁCICA</v>
      </c>
      <c r="B14" s="660">
        <f>B6</f>
        <v>77</v>
      </c>
      <c r="C14" s="747">
        <v>0</v>
      </c>
      <c r="D14" s="738">
        <f t="shared" si="2"/>
        <v>0</v>
      </c>
      <c r="E14" s="701"/>
      <c r="F14" s="702"/>
      <c r="G14" s="703"/>
      <c r="H14" s="700"/>
      <c r="I14" s="700"/>
    </row>
    <row r="15" spans="1:9" s="690" customFormat="1" ht="5.25" customHeight="1" thickBot="1" x14ac:dyDescent="0.25">
      <c r="A15" s="681"/>
      <c r="B15" s="681"/>
      <c r="C15" s="682"/>
      <c r="D15" s="683"/>
      <c r="E15" s="684"/>
      <c r="F15" s="685"/>
      <c r="G15" s="686"/>
      <c r="H15" s="687"/>
      <c r="I15" s="688"/>
    </row>
    <row r="16" spans="1:9" ht="15" customHeight="1" x14ac:dyDescent="0.2">
      <c r="A16" s="673" t="s">
        <v>255</v>
      </c>
      <c r="B16" s="674">
        <f>SUM(Tabela8512[Horas /Mês])</f>
        <v>438</v>
      </c>
      <c r="C16" s="718"/>
      <c r="D16" s="675">
        <f>SUM(D11:D14)</f>
        <v>0</v>
      </c>
      <c r="E16" s="704"/>
      <c r="F16" s="705"/>
      <c r="G16" s="706"/>
      <c r="H16" s="707"/>
      <c r="I16" s="708"/>
    </row>
    <row r="17" spans="1:9" ht="15" customHeight="1" x14ac:dyDescent="0.2">
      <c r="A17" s="676" t="s">
        <v>256</v>
      </c>
      <c r="B17" s="651">
        <f>B16*6</f>
        <v>2628</v>
      </c>
      <c r="C17" s="719"/>
      <c r="D17" s="677">
        <f>D16*6</f>
        <v>0</v>
      </c>
      <c r="E17" s="704"/>
      <c r="F17" s="705"/>
      <c r="G17" s="706"/>
      <c r="H17" s="707"/>
      <c r="I17" s="708"/>
    </row>
    <row r="18" spans="1:9" ht="15" customHeight="1" thickBot="1" x14ac:dyDescent="0.25">
      <c r="A18" s="678" t="s">
        <v>272</v>
      </c>
      <c r="B18" s="679">
        <f>B16*12</f>
        <v>5256</v>
      </c>
      <c r="C18" s="720"/>
      <c r="D18" s="680">
        <f>D16*12</f>
        <v>0</v>
      </c>
      <c r="E18" s="704"/>
      <c r="F18" s="705"/>
      <c r="G18" s="706"/>
      <c r="H18" s="709"/>
      <c r="I18" s="709"/>
    </row>
    <row r="19" spans="1:9" s="690" customFormat="1" ht="5.25" customHeight="1" x14ac:dyDescent="0.2">
      <c r="A19" s="691"/>
      <c r="B19" s="692"/>
      <c r="C19" s="693"/>
      <c r="D19" s="694"/>
      <c r="E19" s="695"/>
      <c r="F19" s="696"/>
      <c r="G19" s="686"/>
      <c r="H19" s="689"/>
      <c r="I19" s="697"/>
    </row>
    <row r="20" spans="1:9" ht="12.75" x14ac:dyDescent="0.2">
      <c r="A20" s="654" t="s">
        <v>274</v>
      </c>
      <c r="B20" s="649" t="s">
        <v>271</v>
      </c>
      <c r="C20" s="646" t="s">
        <v>262</v>
      </c>
      <c r="D20" s="700"/>
      <c r="E20" s="700"/>
      <c r="F20" s="700"/>
      <c r="G20" s="700"/>
      <c r="H20" s="710"/>
      <c r="I20" s="710"/>
    </row>
    <row r="21" spans="1:9" ht="12.75" x14ac:dyDescent="0.2">
      <c r="A21" s="647" t="s">
        <v>259</v>
      </c>
      <c r="B21" s="618">
        <v>0</v>
      </c>
      <c r="C21" s="733">
        <f>Tabela5311[[#This Row],[(%)]]*$I$8</f>
        <v>0</v>
      </c>
      <c r="D21" s="700"/>
      <c r="E21" s="700"/>
      <c r="F21" s="700"/>
      <c r="G21" s="700"/>
      <c r="H21" s="711"/>
      <c r="I21" s="710"/>
    </row>
    <row r="22" spans="1:9" ht="12.75" x14ac:dyDescent="0.2">
      <c r="A22" s="647" t="s">
        <v>15</v>
      </c>
      <c r="B22" s="618">
        <v>0</v>
      </c>
      <c r="C22" s="734">
        <f>Tabela5311[[#This Row],[(%)]]*$I$8</f>
        <v>0</v>
      </c>
      <c r="D22" s="700"/>
      <c r="E22" s="700"/>
      <c r="F22" s="700"/>
      <c r="G22" s="700"/>
      <c r="H22" s="711"/>
      <c r="I22" s="710"/>
    </row>
    <row r="23" spans="1:9" ht="13.5" thickBot="1" x14ac:dyDescent="0.25">
      <c r="A23" s="648" t="s">
        <v>55</v>
      </c>
      <c r="B23" s="618">
        <v>0</v>
      </c>
      <c r="C23" s="733">
        <f>Tabela5311[[#This Row],[(%)]]*$I$8</f>
        <v>0</v>
      </c>
      <c r="D23" s="700"/>
      <c r="E23" s="700"/>
      <c r="F23" s="700"/>
      <c r="G23" s="700"/>
      <c r="H23" s="711"/>
      <c r="I23" s="710"/>
    </row>
    <row r="24" spans="1:9" s="619" customFormat="1" ht="12.75" x14ac:dyDescent="0.25">
      <c r="A24" s="741" t="s">
        <v>260</v>
      </c>
      <c r="B24" s="742">
        <f>SUM(B21:B23)</f>
        <v>0</v>
      </c>
      <c r="C24" s="743">
        <f>SUM(C21:C23)</f>
        <v>0</v>
      </c>
      <c r="D24" s="712"/>
      <c r="E24" s="712"/>
      <c r="F24" s="712"/>
      <c r="G24" s="712"/>
      <c r="H24" s="713"/>
      <c r="I24" s="714"/>
    </row>
    <row r="25" spans="1:9" s="690" customFormat="1" ht="5.25" customHeight="1" x14ac:dyDescent="0.2">
      <c r="A25" s="691"/>
      <c r="B25" s="692"/>
      <c r="C25" s="698"/>
      <c r="D25" s="694"/>
      <c r="E25" s="698"/>
      <c r="F25" s="689"/>
      <c r="G25" s="689"/>
      <c r="H25" s="689"/>
      <c r="I25" s="689"/>
    </row>
    <row r="26" spans="1:9" ht="12.75" x14ac:dyDescent="0.2">
      <c r="A26" s="649" t="s">
        <v>275</v>
      </c>
      <c r="B26" s="650" t="s">
        <v>261</v>
      </c>
      <c r="C26" s="653" t="s">
        <v>254</v>
      </c>
      <c r="D26" s="715"/>
      <c r="E26" s="716"/>
      <c r="F26" s="710"/>
      <c r="G26" s="710"/>
      <c r="H26" s="710"/>
      <c r="I26" s="710"/>
    </row>
    <row r="27" spans="1:9" ht="12.75" x14ac:dyDescent="0.2">
      <c r="A27" s="749" t="s">
        <v>19</v>
      </c>
      <c r="B27" s="618">
        <v>0</v>
      </c>
      <c r="C27" s="736">
        <f>ROUND($I$8*B27,2)</f>
        <v>0</v>
      </c>
      <c r="D27" s="715"/>
      <c r="E27" s="716"/>
      <c r="F27" s="710"/>
      <c r="G27" s="710"/>
      <c r="H27" s="710"/>
      <c r="I27" s="710"/>
    </row>
    <row r="28" spans="1:9" ht="12.75" x14ac:dyDescent="0.2">
      <c r="A28" s="749" t="s">
        <v>20</v>
      </c>
      <c r="B28" s="618">
        <v>0</v>
      </c>
      <c r="C28" s="737">
        <f>ROUND($I$8*B28,2)</f>
        <v>0</v>
      </c>
      <c r="D28" s="715"/>
      <c r="E28" s="716"/>
      <c r="F28" s="710"/>
      <c r="G28" s="710"/>
      <c r="H28" s="710"/>
      <c r="I28" s="710"/>
    </row>
    <row r="29" spans="1:9" ht="13.5" thickBot="1" x14ac:dyDescent="0.25">
      <c r="A29" s="655" t="s">
        <v>21</v>
      </c>
      <c r="B29" s="735">
        <v>0</v>
      </c>
      <c r="C29" s="736">
        <f>ROUND($I$8*B29,2)</f>
        <v>0</v>
      </c>
      <c r="D29" s="715"/>
      <c r="E29" s="716"/>
      <c r="F29" s="710"/>
      <c r="G29" s="710"/>
      <c r="H29" s="710"/>
      <c r="I29" s="710"/>
    </row>
    <row r="30" spans="1:9" ht="12.75" x14ac:dyDescent="0.2">
      <c r="A30" s="741" t="s">
        <v>17</v>
      </c>
      <c r="B30" s="742">
        <f ca="1">SUM(B27:B30)</f>
        <v>0</v>
      </c>
      <c r="C30" s="744">
        <f>SUM(C27:C29)</f>
        <v>0</v>
      </c>
      <c r="D30" s="715"/>
      <c r="E30" s="716"/>
      <c r="F30" s="710"/>
      <c r="G30" s="710"/>
      <c r="H30" s="710"/>
      <c r="I30" s="710"/>
    </row>
    <row r="31" spans="1:9" ht="5.25" customHeight="1" thickBot="1" x14ac:dyDescent="0.25">
      <c r="A31" s="620"/>
      <c r="B31" s="748"/>
      <c r="C31" s="748"/>
      <c r="D31" s="748"/>
      <c r="E31" s="748"/>
      <c r="F31" s="748"/>
      <c r="G31" s="748"/>
      <c r="H31" s="748"/>
      <c r="I31" s="748"/>
    </row>
    <row r="32" spans="1:9" ht="15" customHeight="1" x14ac:dyDescent="0.2">
      <c r="A32" s="700"/>
      <c r="B32" s="773" t="s">
        <v>276</v>
      </c>
      <c r="C32" s="774"/>
      <c r="D32" s="775"/>
      <c r="E32" s="779">
        <f>C24+C30+D8</f>
        <v>0</v>
      </c>
      <c r="F32" s="780"/>
      <c r="G32" s="781"/>
      <c r="H32" s="700"/>
      <c r="I32" s="700"/>
    </row>
    <row r="33" spans="1:9" ht="13.5" thickBot="1" x14ac:dyDescent="0.25">
      <c r="A33" s="700"/>
      <c r="B33" s="776" t="s">
        <v>295</v>
      </c>
      <c r="C33" s="777"/>
      <c r="D33" s="778"/>
      <c r="E33" s="782">
        <f>E32*12</f>
        <v>0</v>
      </c>
      <c r="F33" s="783"/>
      <c r="G33" s="784"/>
      <c r="H33" s="700"/>
      <c r="I33" s="700"/>
    </row>
    <row r="34" spans="1:9" ht="5.25" customHeight="1" x14ac:dyDescent="0.2"/>
    <row r="35" spans="1:9" hidden="1" x14ac:dyDescent="0.2"/>
    <row r="36" spans="1:9" hidden="1" x14ac:dyDescent="0.2"/>
    <row r="37" spans="1:9" hidden="1" x14ac:dyDescent="0.2"/>
    <row r="38" spans="1:9" hidden="1" x14ac:dyDescent="0.2"/>
    <row r="39" spans="1:9" ht="15.75" hidden="1" customHeight="1" x14ac:dyDescent="0.2"/>
    <row r="40" spans="1:9" ht="12.75" hidden="1" x14ac:dyDescent="0.2">
      <c r="A40" s="621"/>
      <c r="B40" s="621"/>
      <c r="C40" s="622"/>
      <c r="D40" s="623"/>
      <c r="E40" s="623"/>
      <c r="F40" s="623"/>
      <c r="G40" s="624"/>
      <c r="H40" s="625"/>
      <c r="I40" s="625"/>
    </row>
    <row r="41" spans="1:9" ht="15.75" hidden="1" customHeight="1" x14ac:dyDescent="0.2">
      <c r="I41" s="636"/>
    </row>
    <row r="42" spans="1:9" ht="15" hidden="1" customHeight="1" x14ac:dyDescent="0.2">
      <c r="I42" s="617"/>
    </row>
    <row r="43" spans="1:9" hidden="1" x14ac:dyDescent="0.2">
      <c r="F43" s="627"/>
      <c r="G43" s="628"/>
      <c r="H43" s="629"/>
    </row>
    <row r="44" spans="1:9" hidden="1" x14ac:dyDescent="0.2">
      <c r="F44" s="627"/>
      <c r="G44" s="628"/>
      <c r="H44" s="629"/>
    </row>
    <row r="45" spans="1:9" hidden="1" x14ac:dyDescent="0.2">
      <c r="F45" s="627"/>
      <c r="G45" s="628"/>
      <c r="H45" s="630"/>
    </row>
    <row r="46" spans="1:9" hidden="1" x14ac:dyDescent="0.2">
      <c r="A46" s="627"/>
      <c r="B46" s="631"/>
      <c r="C46" s="631"/>
      <c r="D46" s="631"/>
      <c r="E46" s="626"/>
      <c r="F46" s="627"/>
      <c r="G46" s="628"/>
      <c r="H46" s="632"/>
    </row>
    <row r="47" spans="1:9" hidden="1" x14ac:dyDescent="0.2">
      <c r="F47" s="626"/>
      <c r="G47" s="627"/>
      <c r="H47" s="626"/>
      <c r="I47" s="626"/>
    </row>
    <row r="48" spans="1:9" hidden="1" x14ac:dyDescent="0.2">
      <c r="F48" s="626"/>
      <c r="G48" s="627"/>
      <c r="H48" s="626"/>
      <c r="I48" s="626"/>
    </row>
    <row r="49" spans="6:9" hidden="1" x14ac:dyDescent="0.2">
      <c r="F49" s="626"/>
      <c r="G49" s="627"/>
      <c r="H49" s="626"/>
      <c r="I49" s="626"/>
    </row>
    <row r="50" spans="6:9" hidden="1" x14ac:dyDescent="0.2">
      <c r="F50" s="626"/>
      <c r="G50" s="627"/>
      <c r="H50" s="626"/>
      <c r="I50" s="626"/>
    </row>
    <row r="51" spans="6:9" hidden="1" x14ac:dyDescent="0.2">
      <c r="F51" s="626"/>
      <c r="G51" s="627"/>
      <c r="H51" s="626"/>
      <c r="I51" s="626"/>
    </row>
    <row r="52" spans="6:9" hidden="1" x14ac:dyDescent="0.2">
      <c r="F52" s="633"/>
      <c r="G52" s="627"/>
      <c r="H52" s="634"/>
      <c r="I52" s="626"/>
    </row>
    <row r="53" spans="6:9" hidden="1" x14ac:dyDescent="0.2"/>
    <row r="54" spans="6:9" hidden="1" x14ac:dyDescent="0.2"/>
    <row r="55" spans="6:9" hidden="1" x14ac:dyDescent="0.2"/>
    <row r="56" spans="6:9" hidden="1" x14ac:dyDescent="0.2"/>
    <row r="57" spans="6:9" hidden="1" x14ac:dyDescent="0.2"/>
    <row r="58" spans="6:9" hidden="1" x14ac:dyDescent="0.2"/>
    <row r="59" spans="6:9" hidden="1" x14ac:dyDescent="0.2"/>
    <row r="60" spans="6:9" hidden="1" x14ac:dyDescent="0.2"/>
    <row r="61" spans="6:9" hidden="1" x14ac:dyDescent="0.2"/>
    <row r="62" spans="6:9" hidden="1" x14ac:dyDescent="0.2"/>
    <row r="63" spans="6:9" hidden="1" x14ac:dyDescent="0.2"/>
    <row r="64" spans="6:9" hidden="1" x14ac:dyDescent="0.2">
      <c r="F64" s="635"/>
    </row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</sheetData>
  <sheetProtection algorithmName="SHA-512" hashValue="Zu6v4c822/Fgapp7aT/lqWxCa7ANvYQOSQolltf171xxO4x/fmmRRvv6c8Uq5usePxUXaEraPFMXtsE6A12p4w==" saltValue="AhiXH1tfJOMccyI5G89ZFg==" spinCount="100000" sheet="1" objects="1" scenarios="1" selectLockedCells="1"/>
  <mergeCells count="6">
    <mergeCell ref="A1:D1"/>
    <mergeCell ref="E1:I1"/>
    <mergeCell ref="B32:D32"/>
    <mergeCell ref="E32:G32"/>
    <mergeCell ref="B33:D33"/>
    <mergeCell ref="E33:G33"/>
  </mergeCells>
  <conditionalFormatting sqref="H15 C15">
    <cfRule type="expression" priority="1">
      <formula>núm_2</formula>
    </cfRule>
  </conditionalFormatting>
  <printOptions horizontalCentered="1"/>
  <pageMargins left="0.31496062992125984" right="0.31496062992125984" top="0.31496062992125984" bottom="0.31496062992125984" header="0.31496062992125984" footer="0.31496062992125984"/>
  <pageSetup paperSize="9" scale="60" orientation="landscape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zoomScaleNormal="100" workbookViewId="0">
      <selection activeCell="B27" activeCellId="2" sqref="C11:C14 B21:B23 B27:B29"/>
    </sheetView>
  </sheetViews>
  <sheetFormatPr defaultColWidth="0" defaultRowHeight="11.25" customHeight="1" zeroHeight="1" x14ac:dyDescent="0.2"/>
  <cols>
    <col min="1" max="1" width="49.7109375" style="616" bestFit="1" customWidth="1"/>
    <col min="2" max="2" width="30.7109375" style="616" customWidth="1"/>
    <col min="3" max="3" width="22.28515625" style="616" customWidth="1"/>
    <col min="4" max="4" width="24.140625" style="616" customWidth="1"/>
    <col min="5" max="5" width="16.85546875" style="616" bestFit="1" customWidth="1"/>
    <col min="6" max="6" width="24.7109375" style="616" customWidth="1"/>
    <col min="7" max="7" width="21.7109375" style="616" customWidth="1"/>
    <col min="8" max="8" width="15.85546875" style="616" customWidth="1"/>
    <col min="9" max="9" width="26.7109375" style="616" customWidth="1"/>
    <col min="10" max="16384" width="9.140625" style="616" hidden="1"/>
  </cols>
  <sheetData>
    <row r="1" spans="1:9" ht="12.75" x14ac:dyDescent="0.2">
      <c r="A1" s="785" t="s">
        <v>273</v>
      </c>
      <c r="B1" s="786"/>
      <c r="C1" s="786"/>
      <c r="D1" s="786"/>
      <c r="E1" s="787" t="s">
        <v>265</v>
      </c>
      <c r="F1" s="788"/>
      <c r="G1" s="788"/>
      <c r="H1" s="788"/>
      <c r="I1" s="789"/>
    </row>
    <row r="2" spans="1:9" ht="25.5" x14ac:dyDescent="0.2">
      <c r="A2" s="722" t="s">
        <v>28</v>
      </c>
      <c r="B2" s="723" t="s">
        <v>29</v>
      </c>
      <c r="C2" s="724" t="s">
        <v>257</v>
      </c>
      <c r="D2" s="725" t="s">
        <v>258</v>
      </c>
      <c r="E2" s="726" t="s">
        <v>270</v>
      </c>
      <c r="F2" s="724" t="s">
        <v>267</v>
      </c>
      <c r="G2" s="724" t="s">
        <v>266</v>
      </c>
      <c r="H2" s="723" t="s">
        <v>269</v>
      </c>
      <c r="I2" s="723" t="s">
        <v>268</v>
      </c>
    </row>
    <row r="3" spans="1:9" ht="12.75" x14ac:dyDescent="0.2">
      <c r="A3" s="739" t="s">
        <v>290</v>
      </c>
      <c r="B3" s="740">
        <v>129</v>
      </c>
      <c r="C3" s="728">
        <f>IFERROR(H3-G3-F3,0)</f>
        <v>0</v>
      </c>
      <c r="D3" s="729">
        <f t="shared" ref="D3:D6" si="0">IFERROR(B3*C3,0)</f>
        <v>0</v>
      </c>
      <c r="E3" s="730">
        <f>IFERROR(I3/$I$8,0)</f>
        <v>0</v>
      </c>
      <c r="F3" s="728">
        <f>IFERROR(($C$24*E3)/B3,0)</f>
        <v>0</v>
      </c>
      <c r="G3" s="728">
        <f>IFERROR(($C$30*E3)/B3,0)</f>
        <v>0</v>
      </c>
      <c r="H3" s="731">
        <f>C11</f>
        <v>0</v>
      </c>
      <c r="I3" s="732">
        <f>D11</f>
        <v>0</v>
      </c>
    </row>
    <row r="4" spans="1:9" ht="12.75" x14ac:dyDescent="0.2">
      <c r="A4" s="739" t="s">
        <v>291</v>
      </c>
      <c r="B4" s="740">
        <v>731</v>
      </c>
      <c r="C4" s="728">
        <f t="shared" ref="C4:C6" si="1">IFERROR(H4-G4-F4,0)</f>
        <v>0</v>
      </c>
      <c r="D4" s="729">
        <f t="shared" si="0"/>
        <v>0</v>
      </c>
      <c r="E4" s="730">
        <f>IFERROR(I4/$I$8,0)</f>
        <v>0</v>
      </c>
      <c r="F4" s="728">
        <f>IFERROR(($C$24*E4)/B4,0)</f>
        <v>0</v>
      </c>
      <c r="G4" s="728">
        <f>IFERROR(($C$30*E4)/B4,0)</f>
        <v>0</v>
      </c>
      <c r="H4" s="731">
        <f>C12</f>
        <v>0</v>
      </c>
      <c r="I4" s="732">
        <f>D12</f>
        <v>0</v>
      </c>
    </row>
    <row r="5" spans="1:9" ht="12.75" x14ac:dyDescent="0.2">
      <c r="A5" s="739" t="s">
        <v>292</v>
      </c>
      <c r="B5" s="740">
        <v>731</v>
      </c>
      <c r="C5" s="728">
        <f t="shared" si="1"/>
        <v>0</v>
      </c>
      <c r="D5" s="729">
        <f t="shared" si="0"/>
        <v>0</v>
      </c>
      <c r="E5" s="730">
        <f>IFERROR(I5/$I$8,0)</f>
        <v>0</v>
      </c>
      <c r="F5" s="728">
        <f>IFERROR(($C$24*E5)/B5,0)</f>
        <v>0</v>
      </c>
      <c r="G5" s="728">
        <f>IFERROR(($C$30*E5)/B5,0)</f>
        <v>0</v>
      </c>
      <c r="H5" s="731">
        <f>C13</f>
        <v>0</v>
      </c>
      <c r="I5" s="732">
        <f>D13</f>
        <v>0</v>
      </c>
    </row>
    <row r="6" spans="1:9" ht="12.75" x14ac:dyDescent="0.2">
      <c r="A6" s="739" t="s">
        <v>293</v>
      </c>
      <c r="B6" s="740">
        <v>258</v>
      </c>
      <c r="C6" s="728">
        <f t="shared" si="1"/>
        <v>0</v>
      </c>
      <c r="D6" s="729">
        <f t="shared" si="0"/>
        <v>0</v>
      </c>
      <c r="E6" s="730">
        <f>IFERROR(I6/$I$8,0)</f>
        <v>0</v>
      </c>
      <c r="F6" s="728">
        <f>IFERROR(($C$24*E6)/B6,0)</f>
        <v>0</v>
      </c>
      <c r="G6" s="728">
        <f>IFERROR(($C$30*E6)/B6,0)</f>
        <v>0</v>
      </c>
      <c r="H6" s="731">
        <f>C14</f>
        <v>0</v>
      </c>
      <c r="I6" s="732">
        <f>D14</f>
        <v>0</v>
      </c>
    </row>
    <row r="7" spans="1:9" s="627" customFormat="1" ht="5.25" customHeight="1" thickBot="1" x14ac:dyDescent="0.25">
      <c r="A7" s="642"/>
      <c r="B7" s="661"/>
      <c r="C7" s="662"/>
      <c r="D7" s="662"/>
      <c r="E7" s="663"/>
      <c r="F7" s="662"/>
      <c r="G7" s="662"/>
      <c r="H7" s="664"/>
      <c r="I7" s="665"/>
    </row>
    <row r="8" spans="1:9" ht="13.5" thickBot="1" x14ac:dyDescent="0.25">
      <c r="A8" s="652" t="s">
        <v>8</v>
      </c>
      <c r="B8" s="666">
        <f>SUM(Tabela971317[Horas /Mês])</f>
        <v>1849</v>
      </c>
      <c r="C8" s="717"/>
      <c r="D8" s="667">
        <f>SUM(D3:D6)</f>
        <v>0</v>
      </c>
      <c r="E8" s="668" t="e">
        <f>I8/$I$8</f>
        <v>#DIV/0!</v>
      </c>
      <c r="F8" s="717"/>
      <c r="G8" s="717"/>
      <c r="H8" s="717"/>
      <c r="I8" s="669">
        <f>SUM(Tabela971317[Valor da hora bruta /Mês])</f>
        <v>0</v>
      </c>
    </row>
    <row r="9" spans="1:9" s="672" customFormat="1" ht="5.25" customHeight="1" x14ac:dyDescent="0.2">
      <c r="A9" s="643"/>
      <c r="B9" s="670"/>
      <c r="C9" s="644"/>
      <c r="D9" s="644"/>
      <c r="E9" s="645"/>
      <c r="F9" s="644"/>
      <c r="G9" s="644"/>
      <c r="H9" s="644"/>
      <c r="I9" s="671"/>
    </row>
    <row r="10" spans="1:9" ht="12.75" x14ac:dyDescent="0.2">
      <c r="A10" s="657" t="s">
        <v>28</v>
      </c>
      <c r="B10" s="658" t="s">
        <v>29</v>
      </c>
      <c r="C10" s="659" t="s">
        <v>263</v>
      </c>
      <c r="D10" s="658" t="s">
        <v>264</v>
      </c>
      <c r="E10" s="656"/>
      <c r="F10" s="656"/>
      <c r="G10" s="699"/>
      <c r="H10" s="700"/>
      <c r="I10" s="700"/>
    </row>
    <row r="11" spans="1:9" ht="15" customHeight="1" x14ac:dyDescent="0.2">
      <c r="A11" s="641" t="str">
        <f>A3</f>
        <v>MÉDICO COORDENAÇÃO RADIOLOGIA</v>
      </c>
      <c r="B11" s="639">
        <f>B3</f>
        <v>129</v>
      </c>
      <c r="C11" s="746">
        <v>0</v>
      </c>
      <c r="D11" s="640">
        <f t="shared" ref="D11:D14" si="2">B11*C11</f>
        <v>0</v>
      </c>
      <c r="E11" s="701"/>
      <c r="F11" s="702"/>
      <c r="G11" s="703"/>
      <c r="H11" s="700"/>
      <c r="I11" s="700"/>
    </row>
    <row r="12" spans="1:9" ht="15" customHeight="1" x14ac:dyDescent="0.2">
      <c r="A12" s="727" t="str">
        <f>A4</f>
        <v>MÉDICO RADIOLOGIA ULTRASSONOGRAFIA</v>
      </c>
      <c r="B12" s="660">
        <f>B4</f>
        <v>731</v>
      </c>
      <c r="C12" s="747">
        <v>0</v>
      </c>
      <c r="D12" s="738">
        <f t="shared" si="2"/>
        <v>0</v>
      </c>
      <c r="E12" s="701"/>
      <c r="F12" s="702"/>
      <c r="G12" s="703"/>
      <c r="H12" s="700"/>
      <c r="I12" s="700"/>
    </row>
    <row r="13" spans="1:9" ht="15" customHeight="1" x14ac:dyDescent="0.2">
      <c r="A13" s="641" t="str">
        <f>A5</f>
        <v>MÉDICO RADIOLOGIA RX / TOMOGRAFIA</v>
      </c>
      <c r="B13" s="639">
        <f>B5</f>
        <v>731</v>
      </c>
      <c r="C13" s="747">
        <v>0</v>
      </c>
      <c r="D13" s="721">
        <f t="shared" si="2"/>
        <v>0</v>
      </c>
      <c r="E13" s="701"/>
      <c r="F13" s="702"/>
      <c r="G13" s="703"/>
      <c r="H13" s="700"/>
      <c r="I13" s="700"/>
    </row>
    <row r="14" spans="1:9" ht="15" customHeight="1" x14ac:dyDescent="0.2">
      <c r="A14" s="727" t="str">
        <f>A6</f>
        <v>MÉDICO ECOCARDIODOPPLER</v>
      </c>
      <c r="B14" s="660">
        <f>B6</f>
        <v>258</v>
      </c>
      <c r="C14" s="747">
        <v>0</v>
      </c>
      <c r="D14" s="738">
        <f t="shared" si="2"/>
        <v>0</v>
      </c>
      <c r="E14" s="701"/>
      <c r="F14" s="702"/>
      <c r="G14" s="703"/>
      <c r="H14" s="700"/>
      <c r="I14" s="700"/>
    </row>
    <row r="15" spans="1:9" s="690" customFormat="1" ht="5.25" customHeight="1" thickBot="1" x14ac:dyDescent="0.25">
      <c r="A15" s="681"/>
      <c r="B15" s="681"/>
      <c r="C15" s="682"/>
      <c r="D15" s="683"/>
      <c r="E15" s="684"/>
      <c r="F15" s="685"/>
      <c r="G15" s="686"/>
      <c r="H15" s="687"/>
      <c r="I15" s="688"/>
    </row>
    <row r="16" spans="1:9" ht="15" customHeight="1" x14ac:dyDescent="0.2">
      <c r="A16" s="673" t="s">
        <v>255</v>
      </c>
      <c r="B16" s="674">
        <f>SUM(Tabela851216[Horas /Mês])</f>
        <v>1849</v>
      </c>
      <c r="C16" s="718"/>
      <c r="D16" s="675">
        <f>SUM(D11:D14)</f>
        <v>0</v>
      </c>
      <c r="E16" s="704"/>
      <c r="F16" s="705"/>
      <c r="G16" s="706"/>
      <c r="H16" s="707"/>
      <c r="I16" s="708"/>
    </row>
    <row r="17" spans="1:9" ht="15" customHeight="1" x14ac:dyDescent="0.2">
      <c r="A17" s="676" t="s">
        <v>256</v>
      </c>
      <c r="B17" s="651">
        <f>B16*6</f>
        <v>11094</v>
      </c>
      <c r="C17" s="719"/>
      <c r="D17" s="677">
        <f>D16*6</f>
        <v>0</v>
      </c>
      <c r="E17" s="704"/>
      <c r="F17" s="705"/>
      <c r="G17" s="706"/>
      <c r="H17" s="707"/>
      <c r="I17" s="708"/>
    </row>
    <row r="18" spans="1:9" ht="15" customHeight="1" thickBot="1" x14ac:dyDescent="0.25">
      <c r="A18" s="678" t="s">
        <v>272</v>
      </c>
      <c r="B18" s="679">
        <f>B16*12</f>
        <v>22188</v>
      </c>
      <c r="C18" s="720"/>
      <c r="D18" s="680">
        <f>D16*12</f>
        <v>0</v>
      </c>
      <c r="E18" s="704"/>
      <c r="F18" s="705"/>
      <c r="G18" s="706"/>
      <c r="H18" s="709"/>
      <c r="I18" s="709"/>
    </row>
    <row r="19" spans="1:9" s="690" customFormat="1" ht="5.25" customHeight="1" x14ac:dyDescent="0.2">
      <c r="A19" s="691"/>
      <c r="B19" s="692"/>
      <c r="C19" s="693"/>
      <c r="D19" s="694"/>
      <c r="E19" s="695"/>
      <c r="F19" s="696"/>
      <c r="G19" s="686"/>
      <c r="H19" s="689"/>
      <c r="I19" s="697"/>
    </row>
    <row r="20" spans="1:9" ht="12.75" x14ac:dyDescent="0.2">
      <c r="A20" s="654" t="s">
        <v>274</v>
      </c>
      <c r="B20" s="649" t="s">
        <v>271</v>
      </c>
      <c r="C20" s="646" t="s">
        <v>262</v>
      </c>
      <c r="D20" s="700"/>
      <c r="E20" s="700"/>
      <c r="F20" s="700"/>
      <c r="G20" s="700"/>
      <c r="H20" s="710"/>
      <c r="I20" s="710"/>
    </row>
    <row r="21" spans="1:9" ht="12.75" x14ac:dyDescent="0.2">
      <c r="A21" s="647" t="s">
        <v>259</v>
      </c>
      <c r="B21" s="618">
        <v>0</v>
      </c>
      <c r="C21" s="733">
        <f>Tabela531115[[#This Row],[(%)]]*$I$8</f>
        <v>0</v>
      </c>
      <c r="D21" s="700"/>
      <c r="E21" s="700"/>
      <c r="F21" s="700"/>
      <c r="G21" s="700"/>
      <c r="H21" s="711"/>
      <c r="I21" s="710"/>
    </row>
    <row r="22" spans="1:9" ht="12.75" x14ac:dyDescent="0.2">
      <c r="A22" s="647" t="s">
        <v>15</v>
      </c>
      <c r="B22" s="618">
        <v>0</v>
      </c>
      <c r="C22" s="734">
        <f>Tabela531115[[#This Row],[(%)]]*$I$8</f>
        <v>0</v>
      </c>
      <c r="D22" s="700"/>
      <c r="E22" s="700"/>
      <c r="F22" s="700"/>
      <c r="G22" s="700"/>
      <c r="H22" s="711"/>
      <c r="I22" s="710"/>
    </row>
    <row r="23" spans="1:9" ht="13.5" thickBot="1" x14ac:dyDescent="0.25">
      <c r="A23" s="648" t="s">
        <v>55</v>
      </c>
      <c r="B23" s="618">
        <v>0</v>
      </c>
      <c r="C23" s="733">
        <f>Tabela531115[[#This Row],[(%)]]*$I$8</f>
        <v>0</v>
      </c>
      <c r="D23" s="700"/>
      <c r="E23" s="700"/>
      <c r="F23" s="700"/>
      <c r="G23" s="700"/>
      <c r="H23" s="711"/>
      <c r="I23" s="710"/>
    </row>
    <row r="24" spans="1:9" s="619" customFormat="1" ht="12.75" x14ac:dyDescent="0.25">
      <c r="A24" s="741" t="s">
        <v>260</v>
      </c>
      <c r="B24" s="742">
        <f>SUM(B21:B23)</f>
        <v>0</v>
      </c>
      <c r="C24" s="743">
        <f>SUM(C21:C23)</f>
        <v>0</v>
      </c>
      <c r="D24" s="712"/>
      <c r="E24" s="712"/>
      <c r="F24" s="712"/>
      <c r="G24" s="712"/>
      <c r="H24" s="713"/>
      <c r="I24" s="714"/>
    </row>
    <row r="25" spans="1:9" s="690" customFormat="1" ht="5.25" customHeight="1" x14ac:dyDescent="0.2">
      <c r="A25" s="691"/>
      <c r="B25" s="692"/>
      <c r="C25" s="698"/>
      <c r="D25" s="694"/>
      <c r="E25" s="698"/>
      <c r="F25" s="689"/>
      <c r="G25" s="689"/>
      <c r="H25" s="689"/>
      <c r="I25" s="689"/>
    </row>
    <row r="26" spans="1:9" ht="12.75" x14ac:dyDescent="0.2">
      <c r="A26" s="649" t="s">
        <v>275</v>
      </c>
      <c r="B26" s="650" t="s">
        <v>261</v>
      </c>
      <c r="C26" s="653" t="s">
        <v>254</v>
      </c>
      <c r="D26" s="715"/>
      <c r="E26" s="716"/>
      <c r="F26" s="710"/>
      <c r="G26" s="710"/>
      <c r="H26" s="710"/>
      <c r="I26" s="710"/>
    </row>
    <row r="27" spans="1:9" ht="12.75" x14ac:dyDescent="0.2">
      <c r="A27" s="749" t="s">
        <v>19</v>
      </c>
      <c r="B27" s="618">
        <v>0</v>
      </c>
      <c r="C27" s="736">
        <f>ROUND($I$8*B27,2)</f>
        <v>0</v>
      </c>
      <c r="D27" s="715"/>
      <c r="E27" s="716"/>
      <c r="F27" s="710"/>
      <c r="G27" s="710"/>
      <c r="H27" s="710"/>
      <c r="I27" s="710"/>
    </row>
    <row r="28" spans="1:9" ht="12.75" x14ac:dyDescent="0.2">
      <c r="A28" s="749" t="s">
        <v>20</v>
      </c>
      <c r="B28" s="618">
        <v>0</v>
      </c>
      <c r="C28" s="737">
        <f>ROUND($I$8*B28,2)</f>
        <v>0</v>
      </c>
      <c r="D28" s="715"/>
      <c r="E28" s="716"/>
      <c r="F28" s="710"/>
      <c r="G28" s="710"/>
      <c r="H28" s="710"/>
      <c r="I28" s="710"/>
    </row>
    <row r="29" spans="1:9" ht="13.5" thickBot="1" x14ac:dyDescent="0.25">
      <c r="A29" s="655" t="s">
        <v>21</v>
      </c>
      <c r="B29" s="735">
        <v>0</v>
      </c>
      <c r="C29" s="736">
        <f>ROUND($I$8*B29,2)</f>
        <v>0</v>
      </c>
      <c r="D29" s="715"/>
      <c r="E29" s="716"/>
      <c r="F29" s="710"/>
      <c r="G29" s="710"/>
      <c r="H29" s="710"/>
      <c r="I29" s="710"/>
    </row>
    <row r="30" spans="1:9" ht="12.75" x14ac:dyDescent="0.2">
      <c r="A30" s="741" t="s">
        <v>17</v>
      </c>
      <c r="B30" s="742">
        <f ca="1">SUM(B27:B30)</f>
        <v>0</v>
      </c>
      <c r="C30" s="744">
        <f>SUM(C27:C29)</f>
        <v>0</v>
      </c>
      <c r="D30" s="715"/>
      <c r="E30" s="716"/>
      <c r="F30" s="710"/>
      <c r="G30" s="710"/>
      <c r="H30" s="710"/>
      <c r="I30" s="710"/>
    </row>
    <row r="31" spans="1:9" ht="5.25" customHeight="1" thickBot="1" x14ac:dyDescent="0.25">
      <c r="A31" s="620"/>
      <c r="B31" s="748"/>
      <c r="C31" s="748"/>
      <c r="D31" s="748"/>
      <c r="E31" s="748"/>
      <c r="F31" s="748"/>
      <c r="G31" s="748"/>
      <c r="H31" s="748"/>
      <c r="I31" s="748"/>
    </row>
    <row r="32" spans="1:9" ht="15" customHeight="1" x14ac:dyDescent="0.2">
      <c r="A32" s="700"/>
      <c r="B32" s="773" t="s">
        <v>276</v>
      </c>
      <c r="C32" s="774"/>
      <c r="D32" s="775"/>
      <c r="E32" s="779">
        <f>C24+C30+D8</f>
        <v>0</v>
      </c>
      <c r="F32" s="780"/>
      <c r="G32" s="781"/>
      <c r="H32" s="700"/>
      <c r="I32" s="700"/>
    </row>
    <row r="33" spans="1:9" ht="13.5" thickBot="1" x14ac:dyDescent="0.25">
      <c r="A33" s="700"/>
      <c r="B33" s="776" t="s">
        <v>295</v>
      </c>
      <c r="C33" s="777"/>
      <c r="D33" s="778"/>
      <c r="E33" s="782">
        <f>E32*12</f>
        <v>0</v>
      </c>
      <c r="F33" s="783"/>
      <c r="G33" s="784"/>
      <c r="H33" s="700"/>
      <c r="I33" s="700"/>
    </row>
    <row r="34" spans="1:9" ht="5.25" customHeight="1" x14ac:dyDescent="0.2"/>
    <row r="35" spans="1:9" hidden="1" x14ac:dyDescent="0.2"/>
    <row r="36" spans="1:9" hidden="1" x14ac:dyDescent="0.2"/>
    <row r="37" spans="1:9" hidden="1" x14ac:dyDescent="0.2"/>
    <row r="38" spans="1:9" hidden="1" x14ac:dyDescent="0.2"/>
    <row r="39" spans="1:9" ht="15.75" hidden="1" customHeight="1" x14ac:dyDescent="0.2"/>
    <row r="40" spans="1:9" ht="12.75" hidden="1" x14ac:dyDescent="0.2">
      <c r="A40" s="621"/>
      <c r="B40" s="621"/>
      <c r="C40" s="622"/>
      <c r="D40" s="623"/>
      <c r="E40" s="623"/>
      <c r="F40" s="623"/>
      <c r="G40" s="624"/>
      <c r="H40" s="625"/>
      <c r="I40" s="625"/>
    </row>
    <row r="41" spans="1:9" ht="15.75" hidden="1" customHeight="1" x14ac:dyDescent="0.2">
      <c r="I41" s="636"/>
    </row>
    <row r="42" spans="1:9" ht="15" hidden="1" customHeight="1" x14ac:dyDescent="0.2">
      <c r="I42" s="617"/>
    </row>
    <row r="43" spans="1:9" hidden="1" x14ac:dyDescent="0.2">
      <c r="F43" s="627"/>
      <c r="G43" s="628"/>
      <c r="H43" s="629"/>
    </row>
    <row r="44" spans="1:9" hidden="1" x14ac:dyDescent="0.2">
      <c r="F44" s="627"/>
      <c r="G44" s="628"/>
      <c r="H44" s="629"/>
    </row>
    <row r="45" spans="1:9" hidden="1" x14ac:dyDescent="0.2">
      <c r="F45" s="627"/>
      <c r="G45" s="628"/>
      <c r="H45" s="630"/>
    </row>
    <row r="46" spans="1:9" hidden="1" x14ac:dyDescent="0.2">
      <c r="A46" s="627"/>
      <c r="B46" s="631"/>
      <c r="C46" s="631"/>
      <c r="D46" s="631"/>
      <c r="E46" s="626"/>
      <c r="F46" s="627"/>
      <c r="G46" s="628"/>
      <c r="H46" s="632"/>
    </row>
    <row r="47" spans="1:9" hidden="1" x14ac:dyDescent="0.2">
      <c r="F47" s="626"/>
      <c r="G47" s="627"/>
      <c r="H47" s="626"/>
      <c r="I47" s="626"/>
    </row>
    <row r="48" spans="1:9" hidden="1" x14ac:dyDescent="0.2">
      <c r="F48" s="626"/>
      <c r="G48" s="627"/>
      <c r="H48" s="626"/>
      <c r="I48" s="626"/>
    </row>
    <row r="49" spans="6:9" hidden="1" x14ac:dyDescent="0.2">
      <c r="F49" s="626"/>
      <c r="G49" s="627"/>
      <c r="H49" s="626"/>
      <c r="I49" s="626"/>
    </row>
    <row r="50" spans="6:9" hidden="1" x14ac:dyDescent="0.2">
      <c r="F50" s="626"/>
      <c r="G50" s="627"/>
      <c r="H50" s="626"/>
      <c r="I50" s="626"/>
    </row>
    <row r="51" spans="6:9" hidden="1" x14ac:dyDescent="0.2">
      <c r="F51" s="626"/>
      <c r="G51" s="627"/>
      <c r="H51" s="626"/>
      <c r="I51" s="626"/>
    </row>
    <row r="52" spans="6:9" hidden="1" x14ac:dyDescent="0.2">
      <c r="F52" s="633"/>
      <c r="G52" s="627"/>
      <c r="H52" s="634"/>
      <c r="I52" s="626"/>
    </row>
    <row r="53" spans="6:9" hidden="1" x14ac:dyDescent="0.2"/>
    <row r="54" spans="6:9" hidden="1" x14ac:dyDescent="0.2"/>
    <row r="55" spans="6:9" hidden="1" x14ac:dyDescent="0.2"/>
    <row r="56" spans="6:9" hidden="1" x14ac:dyDescent="0.2"/>
    <row r="57" spans="6:9" hidden="1" x14ac:dyDescent="0.2"/>
    <row r="58" spans="6:9" hidden="1" x14ac:dyDescent="0.2"/>
    <row r="59" spans="6:9" hidden="1" x14ac:dyDescent="0.2"/>
    <row r="60" spans="6:9" hidden="1" x14ac:dyDescent="0.2"/>
    <row r="61" spans="6:9" hidden="1" x14ac:dyDescent="0.2"/>
    <row r="62" spans="6:9" hidden="1" x14ac:dyDescent="0.2"/>
    <row r="63" spans="6:9" hidden="1" x14ac:dyDescent="0.2"/>
    <row r="64" spans="6:9" hidden="1" x14ac:dyDescent="0.2">
      <c r="F64" s="635"/>
    </row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</sheetData>
  <sheetProtection algorithmName="SHA-512" hashValue="S5fP0X7PweTtdjnTT86vz5JdKfuR2cazmGUiJIz1SoFkg5NSvIxmooutOKuU21hwSxgbhwhMTheoL1sJ2C0i4Q==" saltValue="3uDiKSmDQLjzDeb7UkkrOQ==" spinCount="100000" sheet="1" objects="1" scenarios="1" selectLockedCells="1"/>
  <mergeCells count="6">
    <mergeCell ref="A1:D1"/>
    <mergeCell ref="E1:I1"/>
    <mergeCell ref="B32:D32"/>
    <mergeCell ref="E32:G32"/>
    <mergeCell ref="B33:D33"/>
    <mergeCell ref="E33:G33"/>
  </mergeCells>
  <conditionalFormatting sqref="H15 C15">
    <cfRule type="expression" priority="1">
      <formula>núm_2</formula>
    </cfRule>
  </conditionalFormatting>
  <printOptions horizontalCentered="1"/>
  <pageMargins left="0.31496062992125984" right="0.31496062992125984" top="0.31496062992125984" bottom="0.31496062992125984" header="0.31496062992125984" footer="0.31496062992125984"/>
  <pageSetup paperSize="9" scale="60" orientation="landscape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zoomScaleNormal="100" workbookViewId="0">
      <selection activeCell="B23" activeCellId="7" sqref="C8 B15 B15 B16 B17 B21 B22 B23"/>
    </sheetView>
  </sheetViews>
  <sheetFormatPr defaultColWidth="0" defaultRowHeight="11.25" customHeight="1" zeroHeight="1" x14ac:dyDescent="0.2"/>
  <cols>
    <col min="1" max="1" width="49.7109375" style="616" bestFit="1" customWidth="1"/>
    <col min="2" max="2" width="30.7109375" style="616" customWidth="1"/>
    <col min="3" max="3" width="22.28515625" style="616" customWidth="1"/>
    <col min="4" max="4" width="24.140625" style="616" customWidth="1"/>
    <col min="5" max="5" width="16.85546875" style="616" bestFit="1" customWidth="1"/>
    <col min="6" max="6" width="24.7109375" style="616" customWidth="1"/>
    <col min="7" max="7" width="21.7109375" style="616" customWidth="1"/>
    <col min="8" max="8" width="15.85546875" style="616" customWidth="1"/>
    <col min="9" max="9" width="26.7109375" style="616" customWidth="1"/>
    <col min="10" max="16384" width="9.140625" style="616" hidden="1"/>
  </cols>
  <sheetData>
    <row r="1" spans="1:9" ht="12.75" x14ac:dyDescent="0.2">
      <c r="A1" s="785" t="s">
        <v>273</v>
      </c>
      <c r="B1" s="786"/>
      <c r="C1" s="786"/>
      <c r="D1" s="786"/>
      <c r="E1" s="787" t="s">
        <v>265</v>
      </c>
      <c r="F1" s="788"/>
      <c r="G1" s="788"/>
      <c r="H1" s="788"/>
      <c r="I1" s="789"/>
    </row>
    <row r="2" spans="1:9" ht="25.5" x14ac:dyDescent="0.2">
      <c r="A2" s="722" t="s">
        <v>28</v>
      </c>
      <c r="B2" s="723" t="s">
        <v>29</v>
      </c>
      <c r="C2" s="724" t="s">
        <v>257</v>
      </c>
      <c r="D2" s="725" t="s">
        <v>258</v>
      </c>
      <c r="E2" s="726" t="s">
        <v>270</v>
      </c>
      <c r="F2" s="724" t="s">
        <v>267</v>
      </c>
      <c r="G2" s="724" t="s">
        <v>266</v>
      </c>
      <c r="H2" s="723" t="s">
        <v>269</v>
      </c>
      <c r="I2" s="723" t="s">
        <v>268</v>
      </c>
    </row>
    <row r="3" spans="1:9" ht="12.75" x14ac:dyDescent="0.2">
      <c r="A3" s="739" t="s">
        <v>294</v>
      </c>
      <c r="B3" s="740">
        <v>77</v>
      </c>
      <c r="C3" s="728">
        <f>IFERROR(H3-G3-F3,0)</f>
        <v>0</v>
      </c>
      <c r="D3" s="729">
        <f t="shared" ref="D3" si="0">IFERROR(B3*C3,0)</f>
        <v>0</v>
      </c>
      <c r="E3" s="730">
        <f>IFERROR(I3/$I$5,0)</f>
        <v>0</v>
      </c>
      <c r="F3" s="728">
        <f>IFERROR(($C$18*E3)/B3,0)</f>
        <v>0</v>
      </c>
      <c r="G3" s="728">
        <f>IFERROR(($C$24*E3)/B3,0)</f>
        <v>0</v>
      </c>
      <c r="H3" s="731">
        <f>C8</f>
        <v>0</v>
      </c>
      <c r="I3" s="732">
        <f>D8</f>
        <v>0</v>
      </c>
    </row>
    <row r="4" spans="1:9" s="627" customFormat="1" ht="5.25" customHeight="1" thickBot="1" x14ac:dyDescent="0.25">
      <c r="A4" s="642"/>
      <c r="B4" s="661"/>
      <c r="C4" s="662"/>
      <c r="D4" s="662"/>
      <c r="E4" s="663"/>
      <c r="F4" s="662"/>
      <c r="G4" s="662"/>
      <c r="H4" s="664"/>
      <c r="I4" s="665"/>
    </row>
    <row r="5" spans="1:9" ht="13.5" thickBot="1" x14ac:dyDescent="0.25">
      <c r="A5" s="652" t="s">
        <v>8</v>
      </c>
      <c r="B5" s="666">
        <f>SUM(Tabela97131721[Horas /Mês])</f>
        <v>77</v>
      </c>
      <c r="C5" s="717"/>
      <c r="D5" s="667">
        <f>SUM(D3:D3)</f>
        <v>0</v>
      </c>
      <c r="E5" s="668" t="e">
        <f>I5/$I$5</f>
        <v>#DIV/0!</v>
      </c>
      <c r="F5" s="717"/>
      <c r="G5" s="717"/>
      <c r="H5" s="717"/>
      <c r="I5" s="669">
        <f>SUM(Tabela97131721[Valor da hora bruta /Mês])</f>
        <v>0</v>
      </c>
    </row>
    <row r="6" spans="1:9" s="672" customFormat="1" ht="5.25" customHeight="1" x14ac:dyDescent="0.2">
      <c r="A6" s="643"/>
      <c r="B6" s="670"/>
      <c r="C6" s="644"/>
      <c r="D6" s="644"/>
      <c r="E6" s="645"/>
      <c r="F6" s="644"/>
      <c r="G6" s="644"/>
      <c r="H6" s="644"/>
      <c r="I6" s="671"/>
    </row>
    <row r="7" spans="1:9" ht="12.75" x14ac:dyDescent="0.2">
      <c r="A7" s="657" t="s">
        <v>28</v>
      </c>
      <c r="B7" s="658" t="s">
        <v>29</v>
      </c>
      <c r="C7" s="659" t="s">
        <v>263</v>
      </c>
      <c r="D7" s="658" t="s">
        <v>264</v>
      </c>
      <c r="E7" s="656"/>
      <c r="F7" s="656"/>
      <c r="G7" s="699"/>
      <c r="H7" s="700"/>
      <c r="I7" s="700"/>
    </row>
    <row r="8" spans="1:9" ht="15" customHeight="1" x14ac:dyDescent="0.2">
      <c r="A8" s="641" t="str">
        <f>A3</f>
        <v>MÉDICO ENDOSCOPIA / COLONOSCOPIA</v>
      </c>
      <c r="B8" s="639">
        <f>B3</f>
        <v>77</v>
      </c>
      <c r="C8" s="746">
        <v>0</v>
      </c>
      <c r="D8" s="640">
        <f t="shared" ref="D8" si="1">B8*C8</f>
        <v>0</v>
      </c>
      <c r="E8" s="701"/>
      <c r="F8" s="702"/>
      <c r="G8" s="703"/>
      <c r="H8" s="700"/>
      <c r="I8" s="700"/>
    </row>
    <row r="9" spans="1:9" s="690" customFormat="1" ht="5.25" customHeight="1" thickBot="1" x14ac:dyDescent="0.25">
      <c r="A9" s="681"/>
      <c r="B9" s="681"/>
      <c r="C9" s="682"/>
      <c r="D9" s="683"/>
      <c r="E9" s="684"/>
      <c r="F9" s="685"/>
      <c r="G9" s="686"/>
      <c r="H9" s="687"/>
      <c r="I9" s="688"/>
    </row>
    <row r="10" spans="1:9" ht="15" customHeight="1" x14ac:dyDescent="0.2">
      <c r="A10" s="673" t="s">
        <v>255</v>
      </c>
      <c r="B10" s="674">
        <f>SUM(Tabela85121620[Horas /Mês])</f>
        <v>77</v>
      </c>
      <c r="C10" s="718"/>
      <c r="D10" s="675">
        <f>SUM(D8:D8)</f>
        <v>0</v>
      </c>
      <c r="E10" s="704"/>
      <c r="F10" s="705"/>
      <c r="G10" s="706"/>
      <c r="H10" s="707"/>
      <c r="I10" s="708"/>
    </row>
    <row r="11" spans="1:9" ht="15" customHeight="1" x14ac:dyDescent="0.2">
      <c r="A11" s="676" t="s">
        <v>256</v>
      </c>
      <c r="B11" s="651">
        <f>B10*6</f>
        <v>462</v>
      </c>
      <c r="C11" s="719"/>
      <c r="D11" s="677">
        <f>D10*6</f>
        <v>0</v>
      </c>
      <c r="E11" s="704"/>
      <c r="F11" s="705"/>
      <c r="G11" s="706"/>
      <c r="H11" s="707"/>
      <c r="I11" s="708"/>
    </row>
    <row r="12" spans="1:9" ht="15" customHeight="1" thickBot="1" x14ac:dyDescent="0.25">
      <c r="A12" s="678" t="s">
        <v>272</v>
      </c>
      <c r="B12" s="679">
        <f>B10*12</f>
        <v>924</v>
      </c>
      <c r="C12" s="720"/>
      <c r="D12" s="680">
        <f>D10*12</f>
        <v>0</v>
      </c>
      <c r="E12" s="704"/>
      <c r="F12" s="705"/>
      <c r="G12" s="706"/>
      <c r="H12" s="709"/>
      <c r="I12" s="709"/>
    </row>
    <row r="13" spans="1:9" s="690" customFormat="1" ht="5.25" customHeight="1" x14ac:dyDescent="0.2">
      <c r="A13" s="691"/>
      <c r="B13" s="692"/>
      <c r="C13" s="693"/>
      <c r="D13" s="694"/>
      <c r="E13" s="695"/>
      <c r="F13" s="696"/>
      <c r="G13" s="686"/>
      <c r="H13" s="689"/>
      <c r="I13" s="697"/>
    </row>
    <row r="14" spans="1:9" ht="12.75" x14ac:dyDescent="0.2">
      <c r="A14" s="654" t="s">
        <v>274</v>
      </c>
      <c r="B14" s="649" t="s">
        <v>271</v>
      </c>
      <c r="C14" s="646" t="s">
        <v>262</v>
      </c>
      <c r="D14" s="700"/>
      <c r="E14" s="700"/>
      <c r="F14" s="700"/>
      <c r="G14" s="700"/>
      <c r="H14" s="710"/>
      <c r="I14" s="710"/>
    </row>
    <row r="15" spans="1:9" ht="12.75" x14ac:dyDescent="0.2">
      <c r="A15" s="647" t="s">
        <v>259</v>
      </c>
      <c r="B15" s="618">
        <v>0</v>
      </c>
      <c r="C15" s="733">
        <f>Tabela53111519[[#This Row],[(%)]]*$I$5</f>
        <v>0</v>
      </c>
      <c r="D15" s="700"/>
      <c r="E15" s="700"/>
      <c r="F15" s="700"/>
      <c r="G15" s="700"/>
      <c r="H15" s="711"/>
      <c r="I15" s="710"/>
    </row>
    <row r="16" spans="1:9" ht="12.75" x14ac:dyDescent="0.2">
      <c r="A16" s="647" t="s">
        <v>15</v>
      </c>
      <c r="B16" s="618">
        <v>0</v>
      </c>
      <c r="C16" s="734">
        <f>Tabela53111519[[#This Row],[(%)]]*$I$5</f>
        <v>0</v>
      </c>
      <c r="D16" s="700"/>
      <c r="E16" s="700"/>
      <c r="F16" s="700"/>
      <c r="G16" s="700"/>
      <c r="H16" s="711"/>
      <c r="I16" s="710"/>
    </row>
    <row r="17" spans="1:9" ht="13.5" thickBot="1" x14ac:dyDescent="0.25">
      <c r="A17" s="648" t="s">
        <v>55</v>
      </c>
      <c r="B17" s="618">
        <v>0</v>
      </c>
      <c r="C17" s="733">
        <f>Tabela53111519[[#This Row],[(%)]]*$I$5</f>
        <v>0</v>
      </c>
      <c r="D17" s="700"/>
      <c r="E17" s="700"/>
      <c r="F17" s="700"/>
      <c r="G17" s="700"/>
      <c r="H17" s="711"/>
      <c r="I17" s="710"/>
    </row>
    <row r="18" spans="1:9" s="619" customFormat="1" ht="12.75" x14ac:dyDescent="0.25">
      <c r="A18" s="741" t="s">
        <v>260</v>
      </c>
      <c r="B18" s="742">
        <f>SUM(B15:B17)</f>
        <v>0</v>
      </c>
      <c r="C18" s="743">
        <f>SUM(C15:C17)</f>
        <v>0</v>
      </c>
      <c r="D18" s="712"/>
      <c r="E18" s="712"/>
      <c r="F18" s="712"/>
      <c r="G18" s="712"/>
      <c r="H18" s="713"/>
      <c r="I18" s="714"/>
    </row>
    <row r="19" spans="1:9" s="690" customFormat="1" ht="5.25" customHeight="1" x14ac:dyDescent="0.2">
      <c r="A19" s="691"/>
      <c r="B19" s="692"/>
      <c r="C19" s="698"/>
      <c r="D19" s="694"/>
      <c r="E19" s="698"/>
      <c r="F19" s="689"/>
      <c r="G19" s="689"/>
      <c r="H19" s="689"/>
      <c r="I19" s="689"/>
    </row>
    <row r="20" spans="1:9" ht="12.75" x14ac:dyDescent="0.2">
      <c r="A20" s="649" t="s">
        <v>275</v>
      </c>
      <c r="B20" s="650" t="s">
        <v>261</v>
      </c>
      <c r="C20" s="653" t="s">
        <v>254</v>
      </c>
      <c r="D20" s="715"/>
      <c r="E20" s="716"/>
      <c r="F20" s="710"/>
      <c r="G20" s="710"/>
      <c r="H20" s="710"/>
      <c r="I20" s="710"/>
    </row>
    <row r="21" spans="1:9" ht="12.75" x14ac:dyDescent="0.2">
      <c r="A21" s="749" t="s">
        <v>19</v>
      </c>
      <c r="B21" s="618">
        <v>0</v>
      </c>
      <c r="C21" s="736">
        <f>ROUND($I$5*B21,2)</f>
        <v>0</v>
      </c>
      <c r="D21" s="715"/>
      <c r="E21" s="716"/>
      <c r="F21" s="710"/>
      <c r="G21" s="710"/>
      <c r="H21" s="710"/>
      <c r="I21" s="710"/>
    </row>
    <row r="22" spans="1:9" ht="12.75" x14ac:dyDescent="0.2">
      <c r="A22" s="749" t="s">
        <v>20</v>
      </c>
      <c r="B22" s="618">
        <v>0</v>
      </c>
      <c r="C22" s="737">
        <f>ROUND($I$5*B22,2)</f>
        <v>0</v>
      </c>
      <c r="D22" s="715"/>
      <c r="E22" s="716"/>
      <c r="F22" s="710"/>
      <c r="G22" s="710"/>
      <c r="H22" s="710"/>
      <c r="I22" s="710"/>
    </row>
    <row r="23" spans="1:9" ht="13.5" thickBot="1" x14ac:dyDescent="0.25">
      <c r="A23" s="655" t="s">
        <v>21</v>
      </c>
      <c r="B23" s="735">
        <v>0</v>
      </c>
      <c r="C23" s="736">
        <f>ROUND($I$5*B23,2)</f>
        <v>0</v>
      </c>
      <c r="D23" s="715"/>
      <c r="E23" s="716"/>
      <c r="F23" s="710"/>
      <c r="G23" s="710"/>
      <c r="H23" s="710"/>
      <c r="I23" s="710"/>
    </row>
    <row r="24" spans="1:9" ht="12.75" x14ac:dyDescent="0.2">
      <c r="A24" s="741" t="s">
        <v>17</v>
      </c>
      <c r="B24" s="742">
        <f ca="1">SUM(B21:B24)</f>
        <v>0</v>
      </c>
      <c r="C24" s="744">
        <f>SUM(C21:C23)</f>
        <v>0</v>
      </c>
      <c r="D24" s="715"/>
      <c r="E24" s="716"/>
      <c r="F24" s="710"/>
      <c r="G24" s="710"/>
      <c r="H24" s="710"/>
      <c r="I24" s="710"/>
    </row>
    <row r="25" spans="1:9" ht="5.25" customHeight="1" thickBot="1" x14ac:dyDescent="0.25">
      <c r="A25" s="620"/>
      <c r="B25" s="748"/>
      <c r="C25" s="748"/>
      <c r="D25" s="748"/>
      <c r="E25" s="748"/>
      <c r="F25" s="748"/>
      <c r="G25" s="748"/>
      <c r="H25" s="748"/>
      <c r="I25" s="748"/>
    </row>
    <row r="26" spans="1:9" ht="15" customHeight="1" x14ac:dyDescent="0.2">
      <c r="A26" s="700"/>
      <c r="B26" s="773" t="s">
        <v>276</v>
      </c>
      <c r="C26" s="774"/>
      <c r="D26" s="775"/>
      <c r="E26" s="779">
        <f>C18+C24+D5</f>
        <v>0</v>
      </c>
      <c r="F26" s="780"/>
      <c r="G26" s="781"/>
      <c r="H26" s="700"/>
      <c r="I26" s="700"/>
    </row>
    <row r="27" spans="1:9" ht="13.5" thickBot="1" x14ac:dyDescent="0.25">
      <c r="A27" s="700"/>
      <c r="B27" s="776" t="s">
        <v>295</v>
      </c>
      <c r="C27" s="777"/>
      <c r="D27" s="778"/>
      <c r="E27" s="782">
        <f>E26*12</f>
        <v>0</v>
      </c>
      <c r="F27" s="783"/>
      <c r="G27" s="784"/>
      <c r="H27" s="700"/>
      <c r="I27" s="700"/>
    </row>
    <row r="28" spans="1:9" ht="5.25" customHeight="1" x14ac:dyDescent="0.2"/>
    <row r="29" spans="1:9" hidden="1" x14ac:dyDescent="0.2"/>
    <row r="30" spans="1:9" hidden="1" x14ac:dyDescent="0.2"/>
    <row r="31" spans="1:9" hidden="1" x14ac:dyDescent="0.2"/>
    <row r="32" spans="1:9" hidden="1" x14ac:dyDescent="0.2"/>
    <row r="33" spans="1:9" ht="15.75" hidden="1" customHeight="1" x14ac:dyDescent="0.2"/>
    <row r="34" spans="1:9" ht="12.75" hidden="1" x14ac:dyDescent="0.2">
      <c r="A34" s="621"/>
      <c r="B34" s="621"/>
      <c r="C34" s="622"/>
      <c r="D34" s="623"/>
      <c r="E34" s="623"/>
      <c r="F34" s="623"/>
      <c r="G34" s="624"/>
      <c r="H34" s="625"/>
      <c r="I34" s="625"/>
    </row>
    <row r="35" spans="1:9" ht="15.75" hidden="1" customHeight="1" x14ac:dyDescent="0.2">
      <c r="I35" s="636"/>
    </row>
    <row r="36" spans="1:9" ht="15" hidden="1" customHeight="1" x14ac:dyDescent="0.2">
      <c r="I36" s="617"/>
    </row>
    <row r="37" spans="1:9" hidden="1" x14ac:dyDescent="0.2">
      <c r="F37" s="627"/>
      <c r="G37" s="628"/>
      <c r="H37" s="629"/>
    </row>
    <row r="38" spans="1:9" hidden="1" x14ac:dyDescent="0.2">
      <c r="F38" s="627"/>
      <c r="G38" s="628"/>
      <c r="H38" s="629"/>
    </row>
    <row r="39" spans="1:9" hidden="1" x14ac:dyDescent="0.2">
      <c r="F39" s="627"/>
      <c r="G39" s="628"/>
      <c r="H39" s="630"/>
    </row>
    <row r="40" spans="1:9" hidden="1" x14ac:dyDescent="0.2">
      <c r="A40" s="627"/>
      <c r="B40" s="631"/>
      <c r="C40" s="631"/>
      <c r="D40" s="631"/>
      <c r="E40" s="626"/>
      <c r="F40" s="627"/>
      <c r="G40" s="628"/>
      <c r="H40" s="632"/>
    </row>
    <row r="41" spans="1:9" hidden="1" x14ac:dyDescent="0.2">
      <c r="F41" s="626"/>
      <c r="G41" s="627"/>
      <c r="H41" s="626"/>
      <c r="I41" s="626"/>
    </row>
    <row r="42" spans="1:9" hidden="1" x14ac:dyDescent="0.2">
      <c r="F42" s="626"/>
      <c r="G42" s="627"/>
      <c r="H42" s="626"/>
      <c r="I42" s="626"/>
    </row>
    <row r="43" spans="1:9" hidden="1" x14ac:dyDescent="0.2">
      <c r="F43" s="626"/>
      <c r="G43" s="627"/>
      <c r="H43" s="626"/>
      <c r="I43" s="626"/>
    </row>
    <row r="44" spans="1:9" hidden="1" x14ac:dyDescent="0.2">
      <c r="F44" s="626"/>
      <c r="G44" s="627"/>
      <c r="H44" s="626"/>
      <c r="I44" s="626"/>
    </row>
    <row r="45" spans="1:9" hidden="1" x14ac:dyDescent="0.2">
      <c r="F45" s="626"/>
      <c r="G45" s="627"/>
      <c r="H45" s="626"/>
      <c r="I45" s="626"/>
    </row>
    <row r="46" spans="1:9" hidden="1" x14ac:dyDescent="0.2">
      <c r="F46" s="633"/>
      <c r="G46" s="627"/>
      <c r="H46" s="634"/>
      <c r="I46" s="626"/>
    </row>
    <row r="47" spans="1:9" hidden="1" x14ac:dyDescent="0.2"/>
    <row r="48" spans="1:9" hidden="1" x14ac:dyDescent="0.2"/>
    <row r="49" spans="6:6" hidden="1" x14ac:dyDescent="0.2"/>
    <row r="50" spans="6:6" hidden="1" x14ac:dyDescent="0.2"/>
    <row r="51" spans="6:6" hidden="1" x14ac:dyDescent="0.2"/>
    <row r="52" spans="6:6" hidden="1" x14ac:dyDescent="0.2"/>
    <row r="53" spans="6:6" hidden="1" x14ac:dyDescent="0.2"/>
    <row r="54" spans="6:6" hidden="1" x14ac:dyDescent="0.2"/>
    <row r="55" spans="6:6" hidden="1" x14ac:dyDescent="0.2"/>
    <row r="56" spans="6:6" hidden="1" x14ac:dyDescent="0.2"/>
    <row r="57" spans="6:6" hidden="1" x14ac:dyDescent="0.2"/>
    <row r="58" spans="6:6" hidden="1" x14ac:dyDescent="0.2">
      <c r="F58" s="635"/>
    </row>
    <row r="59" spans="6:6" ht="11.25" customHeight="1" x14ac:dyDescent="0.2"/>
    <row r="60" spans="6:6" ht="11.25" customHeight="1" x14ac:dyDescent="0.2"/>
    <row r="61" spans="6:6" ht="11.25" customHeight="1" x14ac:dyDescent="0.2"/>
    <row r="62" spans="6:6" ht="11.25" customHeight="1" x14ac:dyDescent="0.2"/>
    <row r="63" spans="6:6" ht="11.25" customHeight="1" x14ac:dyDescent="0.2"/>
    <row r="64" spans="6:6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</sheetData>
  <sheetProtection algorithmName="SHA-512" hashValue="x2YtGOneLbKlTMnGO8S7PPz9tOhlEAG4WmP/7n68kT3bMyM2AbFIeGJAGfTR6f+XU/UO2z3GORArC1HYNQg8+A==" saltValue="tjbgZC37RQeT7izBG1vWxg==" spinCount="100000" sheet="1" objects="1" scenarios="1" selectLockedCells="1"/>
  <mergeCells count="6">
    <mergeCell ref="A1:D1"/>
    <mergeCell ref="E1:I1"/>
    <mergeCell ref="B26:D26"/>
    <mergeCell ref="E26:G26"/>
    <mergeCell ref="B27:D27"/>
    <mergeCell ref="E27:G27"/>
  </mergeCells>
  <conditionalFormatting sqref="H9 C9">
    <cfRule type="expression" priority="1">
      <formula>núm_2</formula>
    </cfRule>
  </conditionalFormatting>
  <printOptions horizontalCentered="1"/>
  <pageMargins left="0.31496062992125984" right="0.31496062992125984" top="0.31496062992125984" bottom="0.31496062992125984" header="0.31496062992125984" footer="0.31496062992125984"/>
  <pageSetup paperSize="9" scale="60" orientation="landscape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809" t="s">
        <v>241</v>
      </c>
      <c r="B1" s="809"/>
      <c r="C1" s="809"/>
      <c r="D1" s="809"/>
      <c r="E1" s="809"/>
      <c r="F1" s="809"/>
      <c r="G1" s="344"/>
      <c r="H1" s="315"/>
      <c r="I1" s="315"/>
      <c r="J1" s="315"/>
      <c r="K1" s="315"/>
    </row>
    <row r="2" spans="1:14" s="365" customFormat="1" ht="45" customHeight="1" x14ac:dyDescent="0.25">
      <c r="A2" s="810" t="s">
        <v>196</v>
      </c>
      <c r="B2" s="811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97" t="s">
        <v>34</v>
      </c>
      <c r="B4" s="798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97" t="s">
        <v>35</v>
      </c>
      <c r="B5" s="798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97" t="s">
        <v>36</v>
      </c>
      <c r="B6" s="798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807" t="s">
        <v>37</v>
      </c>
      <c r="B7" s="80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97" t="s">
        <v>210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97" t="s">
        <v>211</v>
      </c>
      <c r="B10" s="798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97" t="s">
        <v>212</v>
      </c>
      <c r="B11" s="798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99" t="s">
        <v>191</v>
      </c>
      <c r="B15" s="800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99" t="s">
        <v>192</v>
      </c>
      <c r="B16" s="800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99" t="s">
        <v>193</v>
      </c>
      <c r="B17" s="800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801" t="s">
        <v>8</v>
      </c>
      <c r="B18" s="802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97" t="s">
        <v>52</v>
      </c>
      <c r="B24" s="79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803"/>
      <c r="B26" s="804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803" t="s">
        <v>8</v>
      </c>
      <c r="B27" s="804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805" t="s">
        <v>58</v>
      </c>
      <c r="B41" s="806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90" t="s">
        <v>59</v>
      </c>
      <c r="B42" s="791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90" t="s">
        <v>60</v>
      </c>
      <c r="B44" s="791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2" t="s">
        <v>24</v>
      </c>
      <c r="B45" s="793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2" t="s">
        <v>26</v>
      </c>
      <c r="B46" s="793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4" t="s">
        <v>27</v>
      </c>
      <c r="B47" s="795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>E47-F47</f>
        <v>25952.423411235213</v>
      </c>
      <c r="H47" s="549"/>
      <c r="I47" s="549"/>
      <c r="J47" s="550"/>
      <c r="K47" s="551"/>
    </row>
    <row r="48" spans="1:15" ht="33.75" customHeight="1" x14ac:dyDescent="0.25">
      <c r="A48" s="796"/>
      <c r="B48" s="796"/>
      <c r="C48" s="796"/>
      <c r="D48" s="796"/>
      <c r="E48" s="796"/>
      <c r="F48" s="796"/>
      <c r="G48" s="796"/>
      <c r="H48" s="796"/>
      <c r="I48" s="796"/>
      <c r="J48" s="796"/>
      <c r="K48" s="796"/>
      <c r="L48" s="796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809" t="s">
        <v>209</v>
      </c>
      <c r="B1" s="809"/>
      <c r="C1" s="809"/>
      <c r="D1" s="809"/>
      <c r="E1" s="809"/>
      <c r="F1" s="809"/>
      <c r="G1" s="344"/>
      <c r="H1" s="315"/>
      <c r="I1" s="315"/>
      <c r="J1" s="315"/>
      <c r="K1" s="315"/>
    </row>
    <row r="2" spans="1:15" s="365" customFormat="1" ht="41.25" customHeight="1" x14ac:dyDescent="0.25">
      <c r="A2" s="812" t="s">
        <v>28</v>
      </c>
      <c r="B2" s="812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98" t="s">
        <v>34</v>
      </c>
      <c r="B4" s="798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98" t="s">
        <v>35</v>
      </c>
      <c r="B5" s="798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98" t="s">
        <v>36</v>
      </c>
      <c r="B6" s="798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808" t="s">
        <v>37</v>
      </c>
      <c r="B7" s="80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814" t="s">
        <v>213</v>
      </c>
      <c r="B9" s="815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814" t="s">
        <v>214</v>
      </c>
      <c r="B10" s="815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814" t="s">
        <v>215</v>
      </c>
      <c r="B11" s="815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814" t="s">
        <v>216</v>
      </c>
      <c r="B12" s="815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814" t="s">
        <v>220</v>
      </c>
      <c r="B13" s="815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814" t="s">
        <v>221</v>
      </c>
      <c r="B14" s="815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814" t="s">
        <v>217</v>
      </c>
      <c r="B15" s="815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814" t="s">
        <v>218</v>
      </c>
      <c r="B16" s="815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814" t="s">
        <v>219</v>
      </c>
      <c r="B17" s="815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804" t="s">
        <v>8</v>
      </c>
      <c r="B18" s="804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98" t="s">
        <v>52</v>
      </c>
      <c r="B24" s="79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804"/>
      <c r="B26" s="804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804" t="s">
        <v>8</v>
      </c>
      <c r="B27" s="804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>F38</f>
        <v>43361.928</v>
      </c>
      <c r="F38" s="171">
        <f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>F39</f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813" t="s">
        <v>58</v>
      </c>
      <c r="B43" s="813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813" t="s">
        <v>59</v>
      </c>
      <c r="B44" s="813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813" t="s">
        <v>60</v>
      </c>
      <c r="B46" s="813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3" t="s">
        <v>24</v>
      </c>
      <c r="B47" s="793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3" t="s">
        <v>26</v>
      </c>
      <c r="B48" s="793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3" t="s">
        <v>27</v>
      </c>
      <c r="B49" s="793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6"/>
      <c r="B50" s="796"/>
      <c r="C50" s="796"/>
      <c r="D50" s="796"/>
      <c r="E50" s="796"/>
      <c r="F50" s="796"/>
      <c r="G50" s="796"/>
      <c r="H50" s="796"/>
      <c r="I50" s="796"/>
      <c r="J50" s="796"/>
      <c r="K50" s="796"/>
      <c r="L50" s="796"/>
      <c r="M50" s="796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16" t="s">
        <v>205</v>
      </c>
      <c r="B1" s="816"/>
      <c r="C1" s="816"/>
      <c r="D1" s="816"/>
      <c r="E1" s="816"/>
      <c r="F1" s="816"/>
      <c r="G1" s="555"/>
      <c r="H1" s="555"/>
    </row>
    <row r="2" spans="1:13" s="196" customFormat="1" ht="60" customHeight="1" x14ac:dyDescent="0.25">
      <c r="A2" s="817" t="s">
        <v>196</v>
      </c>
      <c r="B2" s="818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98" t="s">
        <v>34</v>
      </c>
      <c r="B4" s="798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98" t="s">
        <v>35</v>
      </c>
      <c r="B5" s="798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98" t="s">
        <v>36</v>
      </c>
      <c r="B6" s="798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808" t="s">
        <v>37</v>
      </c>
      <c r="B7" s="808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98"/>
      <c r="B11" s="798"/>
      <c r="C11" s="198"/>
      <c r="D11" s="199"/>
      <c r="E11" s="199"/>
      <c r="F11" s="199">
        <f>C11*E11</f>
        <v>0</v>
      </c>
      <c r="G11" s="170"/>
      <c r="H11" s="204">
        <f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98"/>
      <c r="B12" s="798"/>
      <c r="C12" s="198"/>
      <c r="D12" s="199"/>
      <c r="E12" s="199"/>
      <c r="F12" s="199">
        <f>C12*E12</f>
        <v>0</v>
      </c>
      <c r="G12" s="170"/>
      <c r="H12" s="204">
        <f>F12*G12</f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804" t="s">
        <v>8</v>
      </c>
      <c r="B14" s="804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98" t="s">
        <v>52</v>
      </c>
      <c r="B20" s="79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804"/>
      <c r="B22" s="804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804" t="s">
        <v>8</v>
      </c>
      <c r="B23" s="804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19" t="s">
        <v>58</v>
      </c>
      <c r="B39" s="819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813" t="s">
        <v>59</v>
      </c>
      <c r="B40" s="813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813" t="s">
        <v>60</v>
      </c>
      <c r="B42" s="813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3" t="s">
        <v>24</v>
      </c>
      <c r="B43" s="793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3" t="s">
        <v>26</v>
      </c>
      <c r="B44" s="793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3" t="s">
        <v>27</v>
      </c>
      <c r="B45" s="793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22" t="s">
        <v>204</v>
      </c>
      <c r="B1" s="822"/>
      <c r="C1" s="822"/>
      <c r="D1" s="822"/>
      <c r="E1" s="822"/>
      <c r="F1" s="822"/>
      <c r="G1" s="390"/>
      <c r="H1" s="390"/>
    </row>
    <row r="2" spans="1:16" s="196" customFormat="1" ht="51" customHeight="1" x14ac:dyDescent="0.25">
      <c r="A2" s="823" t="s">
        <v>196</v>
      </c>
      <c r="B2" s="824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97" t="s">
        <v>34</v>
      </c>
      <c r="B4" s="798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97" t="s">
        <v>35</v>
      </c>
      <c r="B5" s="798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97" t="s">
        <v>36</v>
      </c>
      <c r="B6" s="798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807" t="s">
        <v>37</v>
      </c>
      <c r="B7" s="808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 t="shared" ref="N9:N14" si="0"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si="0"/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97"/>
      <c r="B11" s="798"/>
      <c r="C11" s="198"/>
      <c r="D11" s="199"/>
      <c r="E11" s="199"/>
      <c r="F11" s="199">
        <f>C11*E11</f>
        <v>0</v>
      </c>
      <c r="G11" s="170"/>
      <c r="H11" s="204">
        <f>F11*G11</f>
        <v>0</v>
      </c>
      <c r="I11" s="560"/>
      <c r="J11" s="560"/>
      <c r="K11" s="605"/>
      <c r="L11" s="602"/>
      <c r="M11" s="303"/>
      <c r="N11" s="561">
        <f t="shared" si="0"/>
        <v>0</v>
      </c>
      <c r="O11" s="561"/>
      <c r="P11" s="561"/>
    </row>
    <row r="12" spans="1:16" s="321" customFormat="1" ht="9.9499999999999993" hidden="1" customHeight="1" x14ac:dyDescent="0.2">
      <c r="A12" s="797"/>
      <c r="B12" s="798"/>
      <c r="C12" s="198"/>
      <c r="D12" s="199"/>
      <c r="E12" s="199"/>
      <c r="F12" s="199">
        <f>C12*E12</f>
        <v>0</v>
      </c>
      <c r="G12" s="170"/>
      <c r="H12" s="204">
        <f>F12*G12</f>
        <v>0</v>
      </c>
      <c r="I12" s="560"/>
      <c r="J12" s="560"/>
      <c r="K12" s="605"/>
      <c r="L12" s="602"/>
      <c r="M12" s="303"/>
      <c r="N12" s="561">
        <f t="shared" si="0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0"/>
        <v>0</v>
      </c>
      <c r="O13" s="561"/>
      <c r="P13" s="561"/>
    </row>
    <row r="14" spans="1:16" s="321" customFormat="1" ht="8.1" customHeight="1" x14ac:dyDescent="0.2">
      <c r="A14" s="803" t="s">
        <v>8</v>
      </c>
      <c r="B14" s="804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0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97" t="s">
        <v>52</v>
      </c>
      <c r="B20" s="79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803"/>
      <c r="B22" s="804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803" t="s">
        <v>8</v>
      </c>
      <c r="B23" s="804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20" t="s">
        <v>58</v>
      </c>
      <c r="B39" s="819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21" t="s">
        <v>59</v>
      </c>
      <c r="B40" s="813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21" t="s">
        <v>60</v>
      </c>
      <c r="B42" s="813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2" t="s">
        <v>24</v>
      </c>
      <c r="B43" s="793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2" t="s">
        <v>26</v>
      </c>
      <c r="B44" s="793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4" t="s">
        <v>27</v>
      </c>
      <c r="B45" s="795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63" t="s">
        <v>180</v>
      </c>
      <c r="B1" s="763"/>
      <c r="C1" s="763"/>
      <c r="D1" s="763"/>
      <c r="E1" s="763"/>
      <c r="F1" s="763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30" t="s">
        <v>28</v>
      </c>
      <c r="B2" s="83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98" t="s">
        <v>34</v>
      </c>
      <c r="B4" s="79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98" t="s">
        <v>35</v>
      </c>
      <c r="B5" s="79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98" t="s">
        <v>36</v>
      </c>
      <c r="B6" s="79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29" t="s">
        <v>37</v>
      </c>
      <c r="B7" s="82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25" t="s">
        <v>181</v>
      </c>
      <c r="B9" s="826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25" t="s">
        <v>182</v>
      </c>
      <c r="B10" s="826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6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25" t="s">
        <v>183</v>
      </c>
      <c r="B11" s="826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6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25" t="s">
        <v>184</v>
      </c>
      <c r="B12" s="826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6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25" t="s">
        <v>185</v>
      </c>
      <c r="B13" s="826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6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25" t="s">
        <v>186</v>
      </c>
      <c r="B14" s="826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6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25" t="s">
        <v>187</v>
      </c>
      <c r="B15" s="826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6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25" t="s">
        <v>188</v>
      </c>
      <c r="B16" s="826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6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25" t="s">
        <v>189</v>
      </c>
      <c r="B17" s="826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>F17*G17</f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6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25" t="s">
        <v>190</v>
      </c>
      <c r="B18" s="826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>F18*G18</f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28" t="s">
        <v>8</v>
      </c>
      <c r="B19" s="828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29" t="s">
        <v>52</v>
      </c>
      <c r="B25" s="82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804"/>
      <c r="B27" s="80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28" t="s">
        <v>8</v>
      </c>
      <c r="B28" s="82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19" t="s">
        <v>58</v>
      </c>
      <c r="B44" s="819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813" t="s">
        <v>59</v>
      </c>
      <c r="B45" s="813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813" t="s">
        <v>60</v>
      </c>
      <c r="B47" s="813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27" t="s">
        <v>24</v>
      </c>
      <c r="B48" s="827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27" t="s">
        <v>26</v>
      </c>
      <c r="B49" s="827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27" t="s">
        <v>27</v>
      </c>
      <c r="B50" s="827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63" t="s">
        <v>180</v>
      </c>
      <c r="B1" s="763"/>
      <c r="C1" s="763"/>
      <c r="D1" s="763"/>
      <c r="E1" s="763"/>
      <c r="F1" s="763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30" t="s">
        <v>28</v>
      </c>
      <c r="B2" s="83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98" t="s">
        <v>34</v>
      </c>
      <c r="B4" s="79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98" t="s">
        <v>35</v>
      </c>
      <c r="B5" s="79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98" t="s">
        <v>36</v>
      </c>
      <c r="B6" s="79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29" t="s">
        <v>37</v>
      </c>
      <c r="B7" s="82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25" t="s">
        <v>181</v>
      </c>
      <c r="B9" s="826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25" t="s">
        <v>182</v>
      </c>
      <c r="B10" s="826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25" t="s">
        <v>183</v>
      </c>
      <c r="B11" s="826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25" t="s">
        <v>184</v>
      </c>
      <c r="B12" s="826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25" t="s">
        <v>185</v>
      </c>
      <c r="B13" s="826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25" t="s">
        <v>186</v>
      </c>
      <c r="B14" s="826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25" t="s">
        <v>187</v>
      </c>
      <c r="B15" s="826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25" t="s">
        <v>188</v>
      </c>
      <c r="B16" s="826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25" t="s">
        <v>189</v>
      </c>
      <c r="B17" s="826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25" t="s">
        <v>190</v>
      </c>
      <c r="B18" s="826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28" t="s">
        <v>8</v>
      </c>
      <c r="B19" s="828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29" t="s">
        <v>52</v>
      </c>
      <c r="B25" s="82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804"/>
      <c r="B27" s="80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28" t="s">
        <v>8</v>
      </c>
      <c r="B28" s="82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19" t="s">
        <v>58</v>
      </c>
      <c r="B44" s="819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813" t="s">
        <v>59</v>
      </c>
      <c r="B45" s="813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813" t="s">
        <v>60</v>
      </c>
      <c r="B47" s="813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27" t="s">
        <v>24</v>
      </c>
      <c r="B48" s="827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27" t="s">
        <v>26</v>
      </c>
      <c r="B49" s="827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27" t="s">
        <v>27</v>
      </c>
      <c r="B50" s="827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37" t="s">
        <v>206</v>
      </c>
      <c r="B1" s="837"/>
      <c r="C1" s="837"/>
      <c r="D1" s="837"/>
      <c r="E1" s="837"/>
      <c r="F1" s="837"/>
      <c r="G1" s="410"/>
      <c r="H1" s="410"/>
      <c r="I1" s="410"/>
      <c r="J1" s="410"/>
    </row>
    <row r="2" spans="1:13" s="414" customFormat="1" ht="75" customHeight="1" x14ac:dyDescent="0.25">
      <c r="A2" s="838" t="s">
        <v>28</v>
      </c>
      <c r="B2" s="838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34" t="s">
        <v>34</v>
      </c>
      <c r="B4" s="834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34" t="s">
        <v>35</v>
      </c>
      <c r="B5" s="834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34" t="s">
        <v>36</v>
      </c>
      <c r="B6" s="834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34" t="s">
        <v>37</v>
      </c>
      <c r="B7" s="83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34">
        <v>7</v>
      </c>
      <c r="B15" s="834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34">
        <v>8</v>
      </c>
      <c r="B16" s="834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34">
        <v>9</v>
      </c>
      <c r="B17" s="834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35" t="s">
        <v>8</v>
      </c>
      <c r="B18" s="835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34" t="s">
        <v>52</v>
      </c>
      <c r="B24" s="834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35"/>
      <c r="B26" s="835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35" t="s">
        <v>8</v>
      </c>
      <c r="B27" s="835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>F39</f>
        <v>10948.22987799015</v>
      </c>
      <c r="F39" s="433">
        <f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36" t="s">
        <v>58</v>
      </c>
      <c r="B43" s="836"/>
      <c r="C43" s="436"/>
      <c r="D43" s="436"/>
      <c r="E43" s="456">
        <f>F18+E34</f>
        <v>200024.15987088002</v>
      </c>
    </row>
    <row r="44" spans="1:13" hidden="1" x14ac:dyDescent="0.2">
      <c r="A44" s="831" t="s">
        <v>59</v>
      </c>
      <c r="B44" s="831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31" t="s">
        <v>60</v>
      </c>
      <c r="B46" s="831"/>
      <c r="C46" s="443"/>
      <c r="D46" s="443"/>
      <c r="E46" s="457">
        <f>E44/(1-B40)</f>
        <v>218964.59755980299</v>
      </c>
    </row>
    <row r="47" spans="1:13" s="459" customFormat="1" x14ac:dyDescent="0.2">
      <c r="A47" s="832" t="s">
        <v>24</v>
      </c>
      <c r="B47" s="832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32" t="s">
        <v>26</v>
      </c>
      <c r="B48" s="832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32" t="s">
        <v>27</v>
      </c>
      <c r="B49" s="832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33"/>
      <c r="B50" s="833"/>
      <c r="C50" s="833"/>
      <c r="D50" s="833"/>
      <c r="E50" s="833"/>
      <c r="F50" s="833"/>
      <c r="G50" s="833"/>
      <c r="H50" s="833"/>
      <c r="I50" s="833"/>
      <c r="J50" s="833"/>
      <c r="K50" s="833"/>
      <c r="L50" s="833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22" t="s">
        <v>206</v>
      </c>
      <c r="B1" s="822"/>
      <c r="C1" s="822"/>
      <c r="D1" s="822"/>
      <c r="E1" s="822"/>
      <c r="F1" s="822"/>
      <c r="G1" s="390"/>
      <c r="H1" s="390"/>
      <c r="I1" s="390"/>
      <c r="J1" s="390"/>
    </row>
    <row r="2" spans="1:14" s="196" customFormat="1" ht="75" customHeight="1" x14ac:dyDescent="0.25">
      <c r="A2" s="818" t="s">
        <v>28</v>
      </c>
      <c r="B2" s="818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98" t="s">
        <v>34</v>
      </c>
      <c r="B4" s="798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98" t="s">
        <v>35</v>
      </c>
      <c r="B5" s="798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98" t="s">
        <v>36</v>
      </c>
      <c r="B6" s="798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808" t="s">
        <v>37</v>
      </c>
      <c r="B7" s="80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>I10/C10</f>
        <v>176.90003724615343</v>
      </c>
      <c r="K10" s="468">
        <v>176.9</v>
      </c>
      <c r="L10" s="317">
        <f>K10*C10</f>
        <v>91280.400000000009</v>
      </c>
      <c r="M10" s="302">
        <f t="shared" ref="M10:M17" si="4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>I11/C11</f>
        <v>176.90003724615343</v>
      </c>
      <c r="K11" s="468">
        <v>176.9</v>
      </c>
      <c r="L11" s="317">
        <f t="shared" ref="L11:L17" si="5">K11*C11</f>
        <v>22820.100000000002</v>
      </c>
      <c r="M11" s="302">
        <f t="shared" si="4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>I12/C12</f>
        <v>176.90003724615343</v>
      </c>
      <c r="K12" s="468">
        <v>176.9</v>
      </c>
      <c r="L12" s="317">
        <f t="shared" si="5"/>
        <v>22820.100000000002</v>
      </c>
      <c r="M12" s="302">
        <f t="shared" si="4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>I13/C13</f>
        <v>176.90003724615343</v>
      </c>
      <c r="K13" s="468">
        <v>176.9</v>
      </c>
      <c r="L13" s="317">
        <f>K13*C13</f>
        <v>22820.100000000002</v>
      </c>
      <c r="M13" s="302">
        <f t="shared" si="4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5"/>
        <v>0</v>
      </c>
      <c r="M14" s="302">
        <f t="shared" si="4"/>
        <v>0</v>
      </c>
      <c r="N14" s="321"/>
    </row>
    <row r="15" spans="1:14" s="196" customFormat="1" ht="9.9499999999999993" hidden="1" customHeight="1" x14ac:dyDescent="0.25">
      <c r="A15" s="798">
        <v>7</v>
      </c>
      <c r="B15" s="798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5"/>
        <v>0</v>
      </c>
      <c r="M15" s="302">
        <f t="shared" si="4"/>
        <v>0</v>
      </c>
      <c r="N15" s="321"/>
    </row>
    <row r="16" spans="1:14" s="196" customFormat="1" ht="9.9499999999999993" hidden="1" customHeight="1" x14ac:dyDescent="0.25">
      <c r="A16" s="798">
        <v>8</v>
      </c>
      <c r="B16" s="798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5"/>
        <v>0</v>
      </c>
      <c r="M16" s="302">
        <f t="shared" si="4"/>
        <v>0</v>
      </c>
      <c r="N16" s="321"/>
    </row>
    <row r="17" spans="1:14" s="196" customFormat="1" ht="9.9499999999999993" hidden="1" customHeight="1" x14ac:dyDescent="0.25">
      <c r="A17" s="798">
        <v>9</v>
      </c>
      <c r="B17" s="798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5"/>
        <v>0</v>
      </c>
      <c r="M17" s="302">
        <f t="shared" si="4"/>
        <v>0</v>
      </c>
      <c r="N17" s="321"/>
    </row>
    <row r="18" spans="1:14" s="196" customFormat="1" ht="9.9499999999999993" customHeight="1" thickBot="1" x14ac:dyDescent="0.25">
      <c r="A18" s="804" t="s">
        <v>8</v>
      </c>
      <c r="B18" s="804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98" t="s">
        <v>52</v>
      </c>
      <c r="B24" s="798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804"/>
      <c r="B26" s="804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804" t="s">
        <v>8</v>
      </c>
      <c r="B27" s="804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>F39</f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19" t="s">
        <v>58</v>
      </c>
      <c r="B43" s="819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813" t="s">
        <v>59</v>
      </c>
      <c r="B44" s="813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813" t="s">
        <v>60</v>
      </c>
      <c r="B46" s="813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3" t="s">
        <v>24</v>
      </c>
      <c r="B47" s="793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3" t="s">
        <v>26</v>
      </c>
      <c r="B48" s="793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3" t="s">
        <v>27</v>
      </c>
      <c r="B49" s="793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39"/>
      <c r="B50" s="839"/>
      <c r="C50" s="839"/>
      <c r="D50" s="839"/>
      <c r="E50" s="839"/>
      <c r="F50" s="839"/>
      <c r="G50" s="839"/>
      <c r="H50" s="839"/>
      <c r="I50" s="839"/>
      <c r="J50" s="839"/>
      <c r="K50" s="839"/>
      <c r="L50" s="839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22" t="s">
        <v>208</v>
      </c>
      <c r="B1" s="822"/>
      <c r="C1" s="822"/>
      <c r="D1" s="822"/>
      <c r="E1" s="822"/>
      <c r="F1" s="822"/>
      <c r="G1" s="390"/>
      <c r="H1" s="390"/>
      <c r="I1" s="390"/>
      <c r="J1" s="390"/>
    </row>
    <row r="2" spans="1:15" s="196" customFormat="1" ht="74.25" customHeight="1" x14ac:dyDescent="0.25">
      <c r="A2" s="840" t="s">
        <v>28</v>
      </c>
      <c r="B2" s="824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97" t="s">
        <v>34</v>
      </c>
      <c r="B4" s="798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97" t="s">
        <v>35</v>
      </c>
      <c r="B5" s="798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97" t="s">
        <v>36</v>
      </c>
      <c r="B6" s="798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807" t="s">
        <v>37</v>
      </c>
      <c r="B7" s="808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801" t="s">
        <v>8</v>
      </c>
      <c r="B20" s="802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97" t="s">
        <v>52</v>
      </c>
      <c r="B26" s="798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803"/>
      <c r="B28" s="804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803" t="s">
        <v>8</v>
      </c>
      <c r="B29" s="804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20" t="s">
        <v>58</v>
      </c>
      <c r="B45" s="819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21" t="s">
        <v>59</v>
      </c>
      <c r="B46" s="813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21" t="s">
        <v>60</v>
      </c>
      <c r="B48" s="813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2" t="s">
        <v>24</v>
      </c>
      <c r="B49" s="793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2" t="s">
        <v>26</v>
      </c>
      <c r="B50" s="793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4" t="s">
        <v>27</v>
      </c>
      <c r="B51" s="795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39"/>
      <c r="B52" s="839"/>
      <c r="C52" s="839"/>
      <c r="D52" s="839"/>
      <c r="E52" s="839"/>
      <c r="F52" s="839"/>
      <c r="G52" s="839"/>
      <c r="H52" s="839"/>
      <c r="I52" s="839"/>
      <c r="J52" s="839"/>
      <c r="K52" s="839"/>
      <c r="L52" s="839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43" t="s">
        <v>207</v>
      </c>
      <c r="B1" s="843"/>
      <c r="C1" s="843"/>
      <c r="D1" s="843"/>
      <c r="E1" s="843"/>
      <c r="F1" s="843"/>
      <c r="G1" s="475"/>
      <c r="H1" s="475"/>
      <c r="I1" s="475"/>
      <c r="J1" s="475"/>
    </row>
    <row r="2" spans="1:17" s="471" customFormat="1" ht="62.25" customHeight="1" x14ac:dyDescent="0.25">
      <c r="A2" s="838" t="s">
        <v>28</v>
      </c>
      <c r="B2" s="838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34" t="s">
        <v>34</v>
      </c>
      <c r="B4" s="834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34" t="s">
        <v>35</v>
      </c>
      <c r="B5" s="834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34" t="s">
        <v>36</v>
      </c>
      <c r="B6" s="834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34" t="s">
        <v>37</v>
      </c>
      <c r="B7" s="83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42" t="s">
        <v>240</v>
      </c>
      <c r="B16" s="842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42" t="s">
        <v>243</v>
      </c>
      <c r="B18" s="842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35" t="s">
        <v>8</v>
      </c>
      <c r="B20" s="835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34" t="s">
        <v>52</v>
      </c>
      <c r="B26" s="834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35"/>
      <c r="B28" s="835"/>
      <c r="G28" s="415"/>
      <c r="H28" s="415"/>
      <c r="I28" s="415"/>
      <c r="J28" s="415"/>
    </row>
    <row r="29" spans="1:17" hidden="1" x14ac:dyDescent="0.2">
      <c r="A29" s="835" t="s">
        <v>8</v>
      </c>
      <c r="B29" s="835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>B41*$E$48</f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31" t="s">
        <v>58</v>
      </c>
      <c r="B45" s="831"/>
      <c r="E45" s="457">
        <f>F20+E36</f>
        <v>300357.34586937481</v>
      </c>
    </row>
    <row r="46" spans="1:19" hidden="1" x14ac:dyDescent="0.2">
      <c r="A46" s="831" t="s">
        <v>59</v>
      </c>
      <c r="B46" s="831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31" t="s">
        <v>60</v>
      </c>
      <c r="B48" s="831"/>
      <c r="E48" s="457">
        <f>E46/(1-B42)</f>
        <v>328797.79097154021</v>
      </c>
    </row>
    <row r="49" spans="1:13" s="485" customFormat="1" ht="8.1" customHeight="1" x14ac:dyDescent="0.2">
      <c r="A49" s="832" t="s">
        <v>24</v>
      </c>
      <c r="B49" s="832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32" t="s">
        <v>26</v>
      </c>
      <c r="B50" s="832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32" t="s">
        <v>27</v>
      </c>
      <c r="B51" s="832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41"/>
      <c r="B52" s="841"/>
      <c r="C52" s="841"/>
      <c r="D52" s="841"/>
      <c r="E52" s="841"/>
      <c r="F52" s="841"/>
      <c r="G52" s="841"/>
      <c r="H52" s="841"/>
      <c r="I52" s="841"/>
      <c r="J52" s="841"/>
      <c r="K52" s="841"/>
      <c r="L52" s="841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47" t="s">
        <v>165</v>
      </c>
      <c r="B1" s="847"/>
      <c r="C1" s="847"/>
      <c r="D1" s="847"/>
      <c r="E1" s="847"/>
      <c r="F1" s="847"/>
    </row>
    <row r="2" spans="1:11" s="248" customFormat="1" ht="22.5" customHeight="1" x14ac:dyDescent="0.25">
      <c r="A2" s="844" t="s">
        <v>28</v>
      </c>
      <c r="B2" s="84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48" t="s">
        <v>164</v>
      </c>
      <c r="B3" s="849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44" t="s">
        <v>166</v>
      </c>
      <c r="B4" s="84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45" t="s">
        <v>169</v>
      </c>
      <c r="B5" s="846"/>
      <c r="C5" s="249">
        <v>0</v>
      </c>
      <c r="D5" s="246">
        <v>0</v>
      </c>
      <c r="E5" s="251">
        <f>C5*D5</f>
        <v>0</v>
      </c>
      <c r="F5" s="252"/>
      <c r="G5" s="244">
        <f>E5/$E$9</f>
        <v>0</v>
      </c>
      <c r="H5" s="253">
        <f>G5*$G$21</f>
        <v>0</v>
      </c>
      <c r="I5" s="244">
        <f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>C6*D6</f>
        <v>0</v>
      </c>
      <c r="F6" s="252"/>
      <c r="G6" s="244">
        <f>E6/$E$9</f>
        <v>0</v>
      </c>
      <c r="H6" s="253">
        <f>G6*$G$21</f>
        <v>0</v>
      </c>
      <c r="I6" s="244">
        <f>E6+H6</f>
        <v>0</v>
      </c>
      <c r="J6" s="291" t="e">
        <f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>C7*D7</f>
        <v>0</v>
      </c>
      <c r="F7" s="252"/>
      <c r="G7" s="244">
        <f>E7/$E$9</f>
        <v>0</v>
      </c>
      <c r="H7" s="253">
        <f>G7*$G$21</f>
        <v>0</v>
      </c>
      <c r="I7" s="244">
        <f>E7+H7</f>
        <v>0</v>
      </c>
      <c r="J7" s="291" t="e">
        <f>I7/C7</f>
        <v>#DIV/0!</v>
      </c>
      <c r="K7" s="253"/>
    </row>
    <row r="8" spans="1:11" ht="9.9499999999999993" customHeight="1" x14ac:dyDescent="0.25">
      <c r="A8" s="848"/>
      <c r="B8" s="849"/>
      <c r="C8" s="249"/>
      <c r="D8" s="250"/>
      <c r="E8" s="251"/>
      <c r="F8" s="249">
        <v>10</v>
      </c>
      <c r="G8" s="244">
        <f>E8/$E$9</f>
        <v>0</v>
      </c>
      <c r="H8" s="253">
        <f>G8*$G$21</f>
        <v>0</v>
      </c>
      <c r="I8" s="244">
        <f>E8+H8</f>
        <v>0</v>
      </c>
      <c r="J8" s="244"/>
    </row>
    <row r="9" spans="1:11" ht="9.9499999999999993" customHeight="1" x14ac:dyDescent="0.25">
      <c r="A9" s="848" t="s">
        <v>8</v>
      </c>
      <c r="B9" s="849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>D20</f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50"/>
      <c r="B22" s="84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54" t="s">
        <v>58</v>
      </c>
      <c r="B25" s="854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55" t="s">
        <v>22</v>
      </c>
      <c r="B26" s="855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56" t="s">
        <v>60</v>
      </c>
      <c r="B27" s="856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51" t="s">
        <v>24</v>
      </c>
      <c r="B28" s="85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51" t="s">
        <v>26</v>
      </c>
      <c r="B29" s="851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52" t="s">
        <v>157</v>
      </c>
      <c r="B30" s="853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7" t="s">
        <v>173</v>
      </c>
      <c r="B1" s="847"/>
      <c r="C1" s="847"/>
      <c r="D1" s="847"/>
      <c r="E1" s="847"/>
      <c r="F1" s="847"/>
    </row>
    <row r="2" spans="1:13" s="248" customFormat="1" ht="22.5" customHeight="1" x14ac:dyDescent="0.25">
      <c r="A2" s="844" t="s">
        <v>28</v>
      </c>
      <c r="B2" s="84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48" t="s">
        <v>164</v>
      </c>
      <c r="B3" s="849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44" t="s">
        <v>166</v>
      </c>
      <c r="B4" s="84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59" t="s">
        <v>174</v>
      </c>
      <c r="B5" s="860"/>
      <c r="C5" s="249">
        <v>720</v>
      </c>
      <c r="D5" s="246">
        <v>46</v>
      </c>
      <c r="E5" s="251">
        <f>C5*D5</f>
        <v>33120</v>
      </c>
      <c r="F5" s="252"/>
      <c r="G5" s="244">
        <f>E5/$E$9</f>
        <v>0.18595497565152036</v>
      </c>
      <c r="H5" s="253">
        <f>G5*$G$21</f>
        <v>10641.235179353085</v>
      </c>
      <c r="I5" s="244">
        <f>E5+H5</f>
        <v>43761.235179353083</v>
      </c>
      <c r="J5" s="291">
        <f>I5/C5</f>
        <v>60.779493304657059</v>
      </c>
      <c r="K5" s="244">
        <f>J5*C5</f>
        <v>43761.235179353083</v>
      </c>
      <c r="L5" s="294">
        <v>61</v>
      </c>
      <c r="M5" s="244">
        <f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>C6*D6</f>
        <v>132480</v>
      </c>
      <c r="F6" s="252"/>
      <c r="G6" s="244">
        <f>E6/$E$9</f>
        <v>0.74381990260608144</v>
      </c>
      <c r="H6" s="253">
        <f>G6*$G$21</f>
        <v>42564.940717412341</v>
      </c>
      <c r="I6" s="244">
        <f>E6+H6</f>
        <v>175044.94071741233</v>
      </c>
      <c r="J6" s="291">
        <f>I6/C6</f>
        <v>60.779493304657059</v>
      </c>
      <c r="K6" s="244">
        <f>J6*C6</f>
        <v>175044.94071741233</v>
      </c>
      <c r="L6" s="294">
        <v>61</v>
      </c>
      <c r="M6" s="244">
        <f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>C7*D7</f>
        <v>0</v>
      </c>
      <c r="F7" s="252"/>
      <c r="G7" s="244">
        <f>E7/$E$9</f>
        <v>0</v>
      </c>
      <c r="H7" s="253">
        <f>G7*$G$21</f>
        <v>0</v>
      </c>
      <c r="I7" s="244">
        <f>E7+H7</f>
        <v>0</v>
      </c>
      <c r="J7" s="291"/>
      <c r="K7" s="244"/>
      <c r="L7" s="294"/>
      <c r="M7" s="244"/>
    </row>
    <row r="8" spans="1:13" ht="9.9499999999999993" customHeight="1" x14ac:dyDescent="0.25">
      <c r="A8" s="848"/>
      <c r="B8" s="849"/>
      <c r="C8" s="249"/>
      <c r="D8" s="250"/>
      <c r="E8" s="251"/>
      <c r="F8" s="249">
        <v>10</v>
      </c>
      <c r="G8" s="244">
        <f>E8/$E$9</f>
        <v>0</v>
      </c>
      <c r="H8" s="253">
        <f>G8*$G$21</f>
        <v>0</v>
      </c>
      <c r="I8" s="244">
        <f>E8+H8</f>
        <v>0</v>
      </c>
      <c r="J8" s="244"/>
      <c r="K8" s="244"/>
      <c r="L8" s="294"/>
      <c r="M8" s="244"/>
    </row>
    <row r="9" spans="1:13" ht="9.9499999999999993" customHeight="1" x14ac:dyDescent="0.25">
      <c r="A9" s="848" t="s">
        <v>8</v>
      </c>
      <c r="B9" s="849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58" t="s">
        <v>178</v>
      </c>
      <c r="I15" s="857" t="s">
        <v>177</v>
      </c>
      <c r="J15" s="857"/>
    </row>
    <row r="16" spans="1:13" ht="9" customHeight="1" x14ac:dyDescent="0.25">
      <c r="A16" s="264"/>
      <c r="B16" s="258"/>
      <c r="C16" s="257"/>
      <c r="D16" s="257"/>
      <c r="E16" s="244"/>
      <c r="F16" s="244"/>
      <c r="H16" s="858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>D20</f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50"/>
      <c r="B22" s="84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54" t="s">
        <v>58</v>
      </c>
      <c r="B25" s="854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55" t="s">
        <v>22</v>
      </c>
      <c r="B26" s="855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56" t="s">
        <v>60</v>
      </c>
      <c r="B27" s="856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51" t="s">
        <v>24</v>
      </c>
      <c r="B28" s="85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51" t="s">
        <v>26</v>
      </c>
      <c r="B29" s="851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52" t="s">
        <v>157</v>
      </c>
      <c r="B30" s="853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7" t="s">
        <v>173</v>
      </c>
      <c r="B1" s="847"/>
      <c r="C1" s="847"/>
      <c r="D1" s="847"/>
      <c r="E1" s="847"/>
      <c r="F1" s="847"/>
    </row>
    <row r="2" spans="1:13" s="248" customFormat="1" ht="22.5" customHeight="1" x14ac:dyDescent="0.25">
      <c r="A2" s="861" t="s">
        <v>28</v>
      </c>
      <c r="B2" s="86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48" t="s">
        <v>164</v>
      </c>
      <c r="B3" s="849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61" t="s">
        <v>166</v>
      </c>
      <c r="B4" s="86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59" t="s">
        <v>174</v>
      </c>
      <c r="B5" s="860"/>
      <c r="C5" s="249"/>
      <c r="D5" s="246"/>
      <c r="E5" s="251">
        <f>C5*D5</f>
        <v>0</v>
      </c>
      <c r="F5" s="252"/>
      <c r="G5" s="244">
        <f>E5/$E$9</f>
        <v>0</v>
      </c>
      <c r="H5" s="253">
        <f>G5*$G$21</f>
        <v>0</v>
      </c>
      <c r="I5" s="244">
        <f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>C6*D6</f>
        <v>66240</v>
      </c>
      <c r="F6" s="252"/>
      <c r="G6" s="244">
        <f>E6/$E$9</f>
        <v>1.0000031702999059</v>
      </c>
      <c r="H6" s="253">
        <f>G6*$G$21</f>
        <v>21282.48292057055</v>
      </c>
      <c r="I6" s="244">
        <f>E6+H6</f>
        <v>87522.482920570546</v>
      </c>
      <c r="J6" s="291">
        <f>I6/C6</f>
        <v>30.389751014086997</v>
      </c>
      <c r="K6" s="244">
        <f>J6*C6</f>
        <v>87522.482920570546</v>
      </c>
      <c r="L6" s="294">
        <v>61</v>
      </c>
      <c r="M6" s="244">
        <f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>C7*D7</f>
        <v>0</v>
      </c>
      <c r="F7" s="252"/>
      <c r="G7" s="244">
        <f>E7/$E$9</f>
        <v>0</v>
      </c>
      <c r="H7" s="253">
        <f>G7*$G$21</f>
        <v>0</v>
      </c>
      <c r="I7" s="244">
        <f>E7+H7</f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48"/>
      <c r="B8" s="849"/>
      <c r="C8" s="249"/>
      <c r="D8" s="250"/>
      <c r="E8" s="251"/>
      <c r="F8" s="249">
        <v>10</v>
      </c>
      <c r="G8" s="244">
        <f>E8/$E$9</f>
        <v>0</v>
      </c>
      <c r="H8" s="253">
        <f>G8*$G$21</f>
        <v>0</v>
      </c>
      <c r="I8" s="244">
        <f>E8+H8</f>
        <v>0</v>
      </c>
      <c r="J8" s="244"/>
      <c r="K8" s="244"/>
      <c r="L8" s="294"/>
      <c r="M8" s="244"/>
    </row>
    <row r="9" spans="1:13" ht="9.9499999999999993" customHeight="1" x14ac:dyDescent="0.25">
      <c r="A9" s="848" t="s">
        <v>8</v>
      </c>
      <c r="B9" s="849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>D20</f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50"/>
      <c r="B22" s="84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54" t="s">
        <v>58</v>
      </c>
      <c r="B25" s="863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64" t="s">
        <v>22</v>
      </c>
      <c r="B26" s="865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48" t="s">
        <v>60</v>
      </c>
      <c r="B27" s="849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52" t="s">
        <v>24</v>
      </c>
      <c r="B28" s="85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52" t="s">
        <v>26</v>
      </c>
      <c r="B29" s="853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52" t="s">
        <v>157</v>
      </c>
      <c r="B30" s="853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10</vt:i4>
      </vt:variant>
    </vt:vector>
  </HeadingPairs>
  <TitlesOfParts>
    <vt:vector size="43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1</vt:lpstr>
      <vt:lpstr>LOTE 2</vt:lpstr>
      <vt:lpstr>LOTE 3</vt:lpstr>
      <vt:lpstr>LOTE 4</vt:lpstr>
      <vt:lpstr>LOTE 5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1'!Area_de_impressao</vt:lpstr>
      <vt:lpstr>'LOTE 2'!Area_de_impressao</vt:lpstr>
      <vt:lpstr>'LOTE 3'!Area_de_impressao</vt:lpstr>
      <vt:lpstr>'LOTE 4'!Area_de_impressao</vt:lpstr>
      <vt:lpstr>'LOTE 5'!Area_de_impressao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2023-10-26T12:59:26Z</dcterms:modified>
  <dc:language>pt-BR</dc:language>
</cp:coreProperties>
</file>